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acc382a874d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a65feebf99464754"/>
    <x:sheet xmlns:r="http://schemas.openxmlformats.org/officeDocument/2006/relationships" name="Assumptions" sheetId="2" r:id="Rc3784f01e55744cf"/>
    <x:sheet xmlns:r="http://schemas.openxmlformats.org/officeDocument/2006/relationships" name="Cash Flow" sheetId="3" r:id="R64049a30ee92431c"/>
    <x:sheet xmlns:r="http://schemas.openxmlformats.org/officeDocument/2006/relationships" name="Sensitivity" sheetId="4" r:id="Ree50f52f3cc04e2c"/>
    <x:sheet xmlns:r="http://schemas.openxmlformats.org/officeDocument/2006/relationships" name="Checks" sheetId="5" r:id="R1d4b9e9ebe3442e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7">
    <x:numFmt numFmtId="200" formatCode="#,##0.0;[Red](#,##0.0);-"/>
    <x:numFmt numFmtId="201" formatCode="$#,##0;[Red]($#,##0);-"/>
    <x:numFmt numFmtId="202" formatCode="0.0%;[Red](0.0%);-"/>
    <x:numFmt numFmtId="203" formatCode="0.00"/>
    <x:numFmt numFmtId="204" formatCode="0.0"/>
    <x:numFmt numFmtId="205" formatCode="0.000"/>
    <x:numFmt numFmtId="206" formatCode="$0.000"/>
  </x:numFmts>
  <x:fonts count="13">
    <x:font>
      <x:sz val="11"/>
      <x:name val="Carlito"/>
    </x:font>
    <x:font>
      <x:sz val="10"/>
      <x:color rgb="FF000000"/>
      <x:name val="Calibri"/>
    </x:font>
    <x:font>
      <x:b/>
      <x:sz val="18"/>
      <x:color rgb="FFFFFFFF"/>
      <x:name val="Calibri"/>
    </x:font>
    <x:font>
      <x:i/>
      <x:sz val="10"/>
      <x:color rgb="FF6B7280"/>
      <x:name val="Calibri"/>
    </x:font>
    <x:font>
      <x:b/>
      <x:sz val="10"/>
      <x:color rgb="FFFFFFFF"/>
      <x:name val="Calibri"/>
    </x:font>
    <x:font>
      <x:sz val="10"/>
      <x:color rgb="FF0000FF"/>
      <x:name val="Calibri"/>
    </x:font>
    <x:font>
      <x:sz val="10"/>
      <x:color rgb="FF6B7280"/>
      <x:name val="Calibri"/>
    </x:font>
    <x:font>
      <x:b/>
      <x:sz val="10"/>
      <x:color rgb="FF1F2937"/>
      <x:name val="Calibri"/>
    </x:font>
    <x:font>
      <x:b/>
      <x:sz val="11"/>
      <x:color rgb="FFFFFFFF"/>
      <x:name val="Calibri"/>
    </x:font>
    <x:font>
      <x:sz val="10"/>
      <x:color rgb="FF008000"/>
      <x:name val="Calibri"/>
    </x:font>
    <x:font>
      <x:b/>
      <x:sz val="10"/>
      <x:color rgb="FF000000"/>
      <x:name val="Calibri"/>
    </x:font>
    <x:font>
      <x:b/>
      <x:sz val="10"/>
      <x:color rgb="FF166534"/>
      <x:name val="Calibri"/>
    </x:font>
    <x:font>
      <x:b/>
      <x:sz val="10"/>
      <x:color rgb="FF0000FF"/>
      <x:name val="Calibri"/>
    </x:font>
  </x:fonts>
  <x:fills count="9">
    <x:fill>
      <x:patternFill patternType="none"/>
    </x:fill>
    <x:fill>
      <x:patternFill patternType="gray125"/>
    </x:fill>
    <x:fill>
      <x:patternFill patternType="solid">
        <x:fgColor rgb="FF1F2937"/>
      </x:patternFill>
    </x:fill>
    <x:fill>
      <x:patternFill patternType="solid">
        <x:fgColor rgb="FFF3F4F6"/>
      </x:patternFill>
    </x:fill>
    <x:fill>
      <x:patternFill patternType="solid">
        <x:fgColor rgb="FFC79A2B"/>
      </x:patternFill>
    </x:fill>
    <x:fill>
      <x:patternFill patternType="solid">
        <x:fgColor rgb="FFFFF4CC"/>
      </x:patternFill>
    </x:fill>
    <x:fill>
      <x:patternFill patternType="solid">
        <x:fgColor rgb="FFF8FAFC"/>
      </x:patternFill>
    </x:fill>
    <x:fill>
      <x:patternFill patternType="solid">
        <x:fgColor rgb="FFE8EEF5"/>
      </x:patternFill>
    </x:fill>
    <x:fill>
      <x:patternFill patternType="solid">
        <x:fgColor rgb="FFDCFCE7"/>
      </x:patternFill>
    </x:fill>
  </x:fills>
  <x:borders count="4">
    <x:border/>
    <x:border>
      <x:left style="thin">
        <x:color rgb="FFD1D5DB"/>
      </x:left>
      <x:right style="thin">
        <x:color rgb="FFD1D5DB"/>
      </x:right>
      <x:top style="thin">
        <x:color rgb="FFD1D5DB"/>
      </x:top>
      <x:bottom style="thin">
        <x:color rgb="FFD1D5DB"/>
      </x:bottom>
    </x:border>
    <x:border>
      <x:top style="thin">
        <x:color rgb="FF1F2937"/>
      </x:top>
    </x:border>
    <x:border>
      <x:left style="thin">
        <x:color rgb="FFE5E7EB"/>
      </x:left>
      <x:right style="thin">
        <x:color rgb="FFE5E7EB"/>
      </x:right>
      <x:top style="thin">
        <x:color rgb="FFE5E7EB"/>
      </x:top>
      <x:bottom style="thin">
        <x:color rgb="FFE5E7EB"/>
      </x:bottom>
    </x:border>
  </x:borders>
  <x:cellStyleXfs count="1">
    <x:xf numFmtId="0" fontId="0" fillId="0" borderId="0"/>
  </x:cellStyleXfs>
  <x:cellXfs count="94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/>
    <x:xf numFmtId="0" fontId="1" fillId="5" borderId="1" xfId="0" applyNumberFormat="1" applyFont="1" applyFill="1" applyBorder="1"/>
    <x:xf numFmtId="0" fontId="5" fillId="5" borderId="1" xfId="0" applyNumberFormat="1" applyFont="1" applyFill="1" applyBorder="1"/>
    <x:xf numFmtId="200" fontId="5" fillId="5" borderId="1" xfId="0" applyNumberFormat="1" applyFont="1" applyFill="1" applyBorder="1"/>
    <x:xf numFmtId="201" fontId="5" fillId="5" borderId="1" xfId="0" applyNumberFormat="1" applyFont="1" applyFill="1" applyBorder="1"/>
    <x:xf numFmtId="202" fontId="5" fillId="5" borderId="1" xfId="0" applyNumberFormat="1" applyFont="1" applyFill="1" applyBorder="1"/>
    <x:xf numFmtId="203" fontId="5" fillId="5" borderId="1" xfId="0" applyNumberFormat="1" applyFont="1" applyFill="1" applyBorder="1"/>
    <x:xf numFmtId="204" fontId="5" fillId="5" borderId="1" xfId="0" applyNumberFormat="1" applyFont="1" applyFill="1" applyBorder="1"/>
    <x:xf numFmtId="0" fontId="1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wrapText="1"/>
    </x:xf>
    <x:xf numFmtId="0" fontId="7" fillId="6" borderId="0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wrapText="1"/>
    </x:xf>
    <x:xf numFmtId="200" fontId="5" fillId="5" borderId="1" xfId="0" applyNumberFormat="1" applyFont="1" applyFill="1" applyBorder="1" applyAlignment="1">
      <x:alignment wrapText="1"/>
    </x:xf>
    <x:xf numFmtId="202" fontId="5" fillId="5" borderId="1" xfId="0" applyNumberFormat="1" applyFont="1" applyFill="1" applyBorder="1" applyAlignment="1">
      <x:alignment wrapText="1"/>
    </x:xf>
    <x:xf numFmtId="201" fontId="5" fillId="5" borderId="1" xfId="0" applyNumberFormat="1" applyFont="1" applyFill="1" applyBorder="1" applyAlignment="1">
      <x:alignment wrapText="1"/>
    </x:xf>
    <x:xf numFmtId="203" fontId="5" fillId="5" borderId="1" xfId="0" applyNumberFormat="1" applyFont="1" applyFill="1" applyBorder="1" applyAlignment="1">
      <x:alignment wrapText="1"/>
    </x:xf>
    <x:xf numFmtId="204" fontId="5" fillId="5" borderId="1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4" fillId="4" borderId="0" xfId="0" applyNumberFormat="1" applyFont="1" applyFill="1" applyBorder="1" applyAlignment="1">
      <x:alignment horizontal="center"/>
    </x:xf>
    <x:xf numFmtId="0" fontId="8" fillId="2" borderId="0" xfId="0" applyNumberFormat="1" applyFont="1" applyFill="1" applyBorder="1"/>
    <x:xf numFmtId="0" fontId="9" fillId="0" borderId="0" xfId="0" applyNumberFormat="1" applyFont="1" applyFill="1" applyBorder="1"/>
    <x:xf numFmtId="201" fontId="9" fillId="0" borderId="0" xfId="0" applyNumberFormat="1" applyFont="1" applyFill="1" applyBorder="1"/>
    <x:xf numFmtId="200" fontId="9" fillId="0" borderId="0" xfId="0" applyNumberFormat="1" applyFont="1" applyFill="1" applyBorder="1"/>
    <x:xf numFmtId="205" fontId="9" fillId="0" borderId="0" xfId="0" applyNumberFormat="1" applyFont="1" applyFill="1" applyBorder="1"/>
    <x:xf numFmtId="0" fontId="10" fillId="0" borderId="0" xfId="0" applyNumberFormat="1" applyFont="1" applyFill="1" applyBorder="1"/>
    <x:xf numFmtId="201" fontId="10" fillId="0" borderId="0" xfId="0" applyNumberFormat="1" applyFont="1" applyFill="1" applyBorder="1"/>
    <x:xf numFmtId="205" fontId="10" fillId="0" borderId="0" xfId="0" applyNumberFormat="1" applyFont="1" applyFill="1" applyBorder="1"/>
    <x:xf numFmtId="0" fontId="10" fillId="0" borderId="2" xfId="0" applyNumberFormat="1" applyFont="1" applyFill="1" applyBorder="1"/>
    <x:xf numFmtId="201" fontId="10" fillId="0" borderId="2" xfId="0" applyNumberFormat="1" applyFont="1" applyFill="1" applyBorder="1"/>
    <x:xf numFmtId="0" fontId="10" fillId="7" borderId="0" xfId="0" applyNumberFormat="1" applyFont="1" applyFill="1" applyBorder="1"/>
    <x:xf numFmtId="201" fontId="10" fillId="7" borderId="0" xfId="0" applyNumberFormat="1" applyFont="1" applyFill="1" applyBorder="1"/>
    <x:xf numFmtId="0" fontId="7" fillId="7" borderId="0" xfId="0" applyNumberFormat="1" applyFont="1" applyFill="1" applyBorder="1"/>
    <x:xf numFmtId="201" fontId="7" fillId="7" borderId="0" xfId="0" applyNumberFormat="1" applyFont="1" applyFill="1" applyBorder="1"/>
    <x:xf numFmtId="0" fontId="4" fillId="4" borderId="3" xfId="0" applyNumberFormat="1" applyFont="1" applyFill="1" applyBorder="1" applyAlignment="1">
      <x:alignment horizontal="center"/>
    </x:xf>
    <x:xf numFmtId="0" fontId="1" fillId="0" borderId="3" xfId="0" applyNumberFormat="1" applyFont="1" applyFill="1" applyBorder="1"/>
    <x:xf numFmtId="0" fontId="8" fillId="2" borderId="3" xfId="0" applyNumberFormat="1" applyFont="1" applyFill="1" applyBorder="1"/>
    <x:xf numFmtId="200" fontId="9" fillId="0" borderId="3" xfId="0" applyNumberFormat="1" applyFont="1" applyFill="1" applyBorder="1"/>
    <x:xf numFmtId="201" fontId="9" fillId="0" borderId="3" xfId="0" applyNumberFormat="1" applyFont="1" applyFill="1" applyBorder="1"/>
    <x:xf numFmtId="0" fontId="10" fillId="0" borderId="3" xfId="0" applyNumberFormat="1" applyFont="1" applyFill="1" applyBorder="1"/>
    <x:xf numFmtId="201" fontId="10" fillId="0" borderId="3" xfId="0" applyNumberFormat="1" applyFont="1" applyFill="1" applyBorder="1"/>
    <x:xf numFmtId="205" fontId="10" fillId="0" borderId="3" xfId="0" applyNumberFormat="1" applyFont="1" applyFill="1" applyBorder="1"/>
    <x:xf numFmtId="201" fontId="7" fillId="7" borderId="3" xfId="0" applyNumberFormat="1" applyFont="1" applyFill="1" applyBorder="1"/>
    <x:xf numFmtId="201" fontId="1" fillId="0" borderId="0" xfId="0" applyNumberFormat="1" applyFont="1" applyFill="1" applyBorder="1"/>
    <x:xf numFmtId="206" fontId="1" fillId="0" borderId="0" xfId="0" applyNumberFormat="1" applyFont="1" applyFill="1" applyBorder="1"/>
    <x:xf numFmtId="206" fontId="9" fillId="0" borderId="0" xfId="0" applyNumberFormat="1" applyFont="1" applyFill="1" applyBorder="1"/>
    <x:xf numFmtId="201" fontId="9" fillId="0" borderId="1" xfId="0" applyNumberFormat="1" applyFont="1" applyFill="1" applyBorder="1"/>
    <x:xf numFmtId="201" fontId="1" fillId="0" borderId="1" xfId="0" applyNumberFormat="1" applyFont="1" applyFill="1" applyBorder="1"/>
    <x:xf numFmtId="206" fontId="9" fillId="0" borderId="1" xfId="0" applyNumberFormat="1" applyFont="1" applyFill="1" applyBorder="1"/>
    <x:xf numFmtId="206" fontId="1" fillId="0" borderId="1" xfId="0" applyNumberFormat="1" applyFont="1" applyFill="1" applyBorder="1"/>
    <x:xf numFmtId="0" fontId="9" fillId="0" borderId="1" xfId="0" applyNumberFormat="1" applyFont="1" applyFill="1" applyBorder="1"/>
    <x:xf numFmtId="0" fontId="1" fillId="7" borderId="1" xfId="0" applyNumberFormat="1" applyFont="1" applyFill="1" applyBorder="1"/>
    <x:xf numFmtId="201" fontId="9" fillId="7" borderId="1" xfId="0" applyNumberFormat="1" applyFont="1" applyFill="1" applyBorder="1"/>
    <x:xf numFmtId="201" fontId="1" fillId="7" borderId="1" xfId="0" applyNumberFormat="1" applyFont="1" applyFill="1" applyBorder="1"/>
    <x:xf numFmtId="0" fontId="7" fillId="7" borderId="1" xfId="0" applyNumberFormat="1" applyFont="1" applyFill="1" applyBorder="1"/>
    <x:xf numFmtId="201" fontId="7" fillId="7" borderId="1" xfId="0" applyNumberFormat="1" applyFont="1" applyFill="1" applyBorder="1"/>
    <x:xf numFmtId="0" fontId="1" fillId="8" borderId="1" xfId="0" applyNumberFormat="1" applyFont="1" applyFill="1" applyBorder="1"/>
    <x:xf numFmtId="0" fontId="9" fillId="8" borderId="1" xfId="0" applyNumberFormat="1" applyFont="1" applyFill="1" applyBorder="1"/>
    <x:xf numFmtId="0" fontId="11" fillId="8" borderId="1" xfId="0" applyNumberFormat="1" applyFont="1" applyFill="1" applyBorder="1"/>
    <x:xf numFmtId="0" fontId="1" fillId="5" borderId="0" xfId="0" applyNumberFormat="1" applyFont="1" applyFill="1" applyBorder="1"/>
    <x:xf numFmtId="0" fontId="7" fillId="5" borderId="0" xfId="0" applyNumberFormat="1" applyFont="1" applyFill="1" applyBorder="1"/>
    <x:xf numFmtId="0" fontId="1" fillId="6" borderId="0" xfId="0" applyNumberFormat="1" applyFont="1" applyFill="1" applyBorder="1" applyAlignment="1">
      <x:alignment wrapText="1"/>
    </x:xf>
    <x:xf numFmtId="0" fontId="1" fillId="6" borderId="0" xfId="0" applyNumberFormat="1" applyFont="1" applyFill="1" applyBorder="1" applyAlignment="1">
      <x:alignment vertical="top" wrapText="1"/>
    </x:xf>
    <x:xf numFmtId="0" fontId="12" fillId="5" borderId="0" xfId="0" applyNumberFormat="1" applyFont="1" applyFill="1" applyBorder="1"/>
    <x:xf numFmtId="202" fontId="12" fillId="5" borderId="0" xfId="0" applyNumberFormat="1" applyFont="1" applyFill="1" applyBorder="1"/>
    <x:xf numFmtId="203" fontId="12" fillId="5" borderId="0" xfId="0" applyNumberFormat="1" applyFont="1" applyFill="1" applyBorder="1"/>
    <x:xf numFmtId="202" fontId="12" fillId="5" borderId="1" xfId="0" applyNumberFormat="1" applyFont="1" applyFill="1" applyBorder="1"/>
    <x:xf numFmtId="203" fontId="12" fillId="5" borderId="1" xfId="0" applyNumberFormat="1" applyFont="1" applyFill="1" applyBorder="1"/>
    <x:xf numFmtId="202" fontId="1" fillId="0" borderId="0" xfId="0" applyNumberFormat="1" applyFont="1" applyFill="1" applyBorder="1"/>
    <x:xf numFmtId="203" fontId="1" fillId="0" borderId="0" xfId="0" applyNumberFormat="1" applyFont="1" applyFill="1" applyBorder="1"/>
    <x:xf numFmtId="0" fontId="4" fillId="4" borderId="1" xfId="0" applyNumberFormat="1" applyFont="1" applyFill="1" applyBorder="1"/>
    <x:xf numFmtId="202" fontId="1" fillId="0" borderId="1" xfId="0" applyNumberFormat="1" applyFont="1" applyFill="1" applyBorder="1"/>
    <x:xf numFmtId="203" fontId="1" fillId="0" borderId="1" xfId="0" applyNumberFormat="1" applyFont="1" applyFill="1" applyBorder="1"/>
    <x:xf numFmtId="0" fontId="1" fillId="8" borderId="0" xfId="0" applyNumberFormat="1" applyFont="1" applyFill="1" applyBorder="1"/>
    <x:xf numFmtId="0" fontId="11" fillId="8" borderId="0" xfId="0" applyNumberFormat="1" applyFont="1" applyFill="1" applyBorder="1"/>
    <x:xf numFmtId="0" fontId="11" fillId="8" borderId="0" xfId="0" applyNumberFormat="1" applyFont="1" applyFill="1" applyBorder="1" applyAlignment="1">
      <x:alignment wrapText="1"/>
    </x:xf>
    <x:xf numFmtId="0" fontId="4" fillId="4" borderId="1" xfId="0" applyNumberFormat="1" applyFont="1" applyFill="1" applyBorder="1" applyAlignment="1">
      <x:alignment wrapText="1"/>
    </x:xf>
    <x:xf numFmtId="0" fontId="11" fillId="8" borderId="1" xfId="0" applyNumberFormat="1" applyFont="1" applyFill="1" applyBorder="1" applyAlignment="1">
      <x:alignment wrapText="1"/>
    </x:xf>
    <x:xf numFmtId="201" fontId="9" fillId="0" borderId="1" xfId="0" applyNumberFormat="1" applyFont="1" applyFill="1" applyBorder="1" applyAlignment="1">
      <x:alignment wrapText="1"/>
    </x:xf>
    <x:xf numFmtId="0" fontId="9" fillId="0" borderId="1" xfId="0" applyNumberFormat="1" applyFont="1" applyFill="1" applyBorder="1" applyAlignment="1">
      <x:alignment wrapText="1"/>
    </x:xf>
    <x:xf numFmtId="201" fontId="1" fillId="0" borderId="1" xfId="0" applyNumberFormat="1" applyFont="1" applyFill="1" applyBorder="1" applyAlignment="1">
      <x:alignment wrapText="1"/>
    </x:xf>
    <x:xf numFmtId="0" fontId="4" fillId="2" borderId="0" xfId="0" applyNumberFormat="1" applyFont="1" applyFill="1" applyBorder="1"/>
    <x:xf numFmtId="0" fontId="5" fillId="5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eb8ce35d3645c5" /><Relationship Type="http://schemas.openxmlformats.org/officeDocument/2006/relationships/theme" Target="/xl/theme/theme1.xml" Id="R888807976dbe48b2" /><Relationship Type="http://schemas.openxmlformats.org/officeDocument/2006/relationships/sharedStrings" Target="/xl/sharedStrings.xml" Id="R7a40116afe5c4d7b" /><Relationship Type="http://schemas.openxmlformats.org/officeDocument/2006/relationships/worksheet" Target="/xl/worksheets/sheet1.xml" Id="Ra65feebf99464754" /><Relationship Type="http://schemas.openxmlformats.org/officeDocument/2006/relationships/worksheet" Target="/xl/worksheets/sheet2.xml" Id="Rc3784f01e55744cf" /><Relationship Type="http://schemas.openxmlformats.org/officeDocument/2006/relationships/worksheet" Target="/xl/worksheets/sheet3.xml" Id="R64049a30ee92431c" /><Relationship Type="http://schemas.openxmlformats.org/officeDocument/2006/relationships/worksheet" Target="/xl/worksheets/sheet4.xml" Id="Ree50f52f3cc04e2c" /><Relationship Type="http://schemas.openxmlformats.org/officeDocument/2006/relationships/worksheet" Target="/xl/worksheets/sheet5.xml" Id="R1d4b9e9ebe3442e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e47ada69cdf64248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Cumulative Discounted TCO (USD)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Supplier A</c:v>
          </c:tx>
          <c:marker>
            <c:symbol val="none"/>
          </c:marker>
          <c:cat>
            <c:strRef>
              <c:f>'Summary'!$A$16:$A$21</c:f>
              <c:strCache>
                <c:ptCount val="0"/>
              </c:strCache>
            </c:strRef>
          </c:cat>
          <c:val>
            <c:numRef>
              <c:f>'Summary'!$B$16:$B$21</c:f>
              <c:numCache>
                <c:formatCode>$#,##0;[Red]($#,##0);-</c:formatCode>
                <c:ptCount val="0"/>
              </c:numCache>
            </c:numRef>
          </c:val>
          <c:smooth val="0"/>
        </c:ser>
        <c:ser>
          <c:idx val="1"/>
          <c:order val="1"/>
          <c:tx>
            <c:v>Supplier B</c:v>
          </c:tx>
          <c:marker>
            <c:symbol val="none"/>
          </c:marker>
          <c:cat>
            <c:strRef>
              <c:f>'Summary'!$A$16:$A$21</c:f>
              <c:strCache>
                <c:ptCount val="0"/>
              </c:strCache>
            </c:strRef>
          </c:cat>
          <c:val>
            <c:numRef>
              <c:f>'Summary'!$C$16:$C$21</c:f>
              <c:numCache>
                <c:formatCode>$#,##0;[Red]($#,##0);-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8</xdr:col>
      <xdr:colOff>0</xdr:colOff>
      <xdr:row>3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e47ada69cdf6424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844f2eed16e4d98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1" hidden="0" customWidth="1"/>
    <x:col min="2" max="2" width="17" hidden="0" customWidth="1"/>
    <x:col min="3" max="3" width="17" hidden="0" customWidth="1"/>
    <x:col min="4" max="4" width="17" hidden="0" customWidth="1"/>
    <x:col min="5" max="5" width="22" hidden="0" customWidth="1"/>
    <x:col min="6" max="6" width="14" hidden="0" customWidth="1"/>
    <x:col min="7" max="7" width="14" hidden="0" customWidth="1"/>
    <x:col min="9" max="9" width="24" hidden="0" customWidth="1"/>
    <x:col min="10" max="10" width="22" hidden="0" customWidth="1"/>
  </x:cols>
  <x:sheetData>
    <x:row r="1" ht="30" customHeight="1">
      <x:c r="A1" s="4" t="str">
        <x:v>Five-Year Guest Room Supplies TCO Dashboard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1"/>
      <x:c r="P1" s="1"/>
      <x:c r="Q1" s="1"/>
    </x:row>
    <x:row r="2" ht="30" customHeight="1">
      <x:c r="A2" s="7" t="str">
        <x:v>Illustrative comparison — validate all assumptions, specifications and service levels before award.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0" t="str">
        <x:v>Metric</x:v>
      </x:c>
      <x:c r="B4" s="10" t="str">
        <x:v>Supplier A</x:v>
      </x:c>
      <x:c r="C4" s="10" t="str">
        <x:v>Supplier B</x:v>
      </x:c>
      <x:c r="D4" s="10" t="str">
        <x:v>Difference: B − A</x:v>
      </x:c>
      <x:c r="E4" s="10" t="str">
        <x:v>Decision view</x:v>
      </x:c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1" t="str">
        <x:v>Opening cost</x:v>
      </x:c>
      <x:c r="B5" s="57" t="n">
        <x:f>'Cash Flow'!B20</x:f>
        <x:v>6510.000000000001</x:v>
      </x:c>
      <x:c r="C5" s="57" t="n">
        <x:f>'Cash Flow'!B40</x:f>
        <x:v>8310</x:v>
      </x:c>
      <x:c r="D5" s="58" t="n">
        <x:f>C5-B5</x:f>
        <x:v>1799.999999999999</x:v>
      </x:c>
      <x:c r="E5" s="11" t="str">
        <x:f>IF(B5&lt;C5,"Supplier A lower",IF(C5&lt;B5,"Supplier B lower","Equal"))</x:f>
        <x:v>Supplier A lower</x:v>
      </x:c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11" t="str">
        <x:v>Five-year nominal cost</x:v>
      </x:c>
      <x:c r="B6" s="57" t="n">
        <x:f>SUM('Cash Flow'!B20:G20)</x:f>
        <x:v>37655.19420013167</x:v>
      </x:c>
      <x:c r="C6" s="57" t="n">
        <x:f>SUM('Cash Flow'!B40:G40)</x:f>
        <x:v>19074.461885298864</x:v>
      </x:c>
      <x:c r="D6" s="58" t="n">
        <x:f>C6-B6</x:f>
        <x:v>-18580.732314832807</x:v>
      </x:c>
      <x:c r="E6" s="11" t="str">
        <x:f>IF(B6&lt;C6,"Supplier A lower",IF(C6&lt;B6,"Supplier B lower","Equal"))</x:f>
        <x:v>Supplier B lower</x:v>
      </x:c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66" t="str">
        <x:v>Discounted five-year TCO</x:v>
      </x:c>
      <x:c r="B7" s="66" t="n">
        <x:f>SUM('Cash Flow'!B22:G22)</x:f>
        <x:v>31917.30951678568</x:v>
      </x:c>
      <x:c r="C7" s="66" t="n">
        <x:f>SUM('Cash Flow'!B42:G42)</x:f>
        <x:v>17107.27325428449</x:v>
      </x:c>
      <x:c r="D7" s="66" t="n">
        <x:f>C7-B7</x:f>
        <x:v>-14810.036262501191</x:v>
      </x:c>
      <x:c r="E7" s="66" t="str">
        <x:f>IF(B7&lt;C7,"Supplier A lower",IF(C7&lt;B7,"Supplier B lower","Equal"))</x:f>
        <x:v>Supplier B lower</x:v>
      </x:c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11" t="str">
        <x:v>TCO per room-year</x:v>
      </x:c>
      <x:c r="B8" s="57" t="n">
        <x:f>B7/('Assumptions'!C5*5)</x:f>
        <x:v>31.917309516785682</x:v>
      </x:c>
      <x:c r="C8" s="57" t="n">
        <x:f>C7/('Assumptions'!C5*5)</x:f>
        <x:v>17.10727325428449</x:v>
      </x:c>
      <x:c r="D8" s="58" t="n">
        <x:f>C8-B8</x:f>
        <x:v>-14.810036262501193</x:v>
      </x:c>
      <x:c r="E8" s="11" t="str">
        <x:f>IF(B8&lt;C8,"Supplier A lower",IF(C8&lt;B8,"Supplier B lower","Equal"))</x:f>
        <x:v>Supplier B lower</x:v>
      </x:c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11" t="str">
        <x:v>TCO per occupied room-night</x:v>
      </x:c>
      <x:c r="B9" s="59" t="n">
        <x:f>B7/('Assumptions'!C8*5)</x:f>
        <x:v>0.12492097658233144</x:v>
      </x:c>
      <x:c r="C9" s="59" t="n">
        <x:f>C7/('Assumptions'!C8*5)</x:f>
        <x:v>0.06695605970365749</x:v>
      </x:c>
      <x:c r="D9" s="60" t="n">
        <x:f>C9-B9</x:f>
        <x:v>-0.057964916878673944</x:v>
      </x:c>
      <x:c r="E9" s="11" t="str">
        <x:f>IF(B9&lt;C9,"Supplier A lower",IF(C9&lt;B9,"Supplier B lower","Equal"))</x:f>
        <x:v>Supplier B lower</x:v>
      </x:c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>
      <x:c r="A10" s="11" t="str">
        <x:v>Year 5 cumulative TCO</x:v>
      </x:c>
      <x:c r="B10" s="57" t="n">
        <x:f>'Cash Flow'!G23</x:f>
        <x:v>31917.30951678568</x:v>
      </x:c>
      <x:c r="C10" s="57" t="n">
        <x:f>'Cash Flow'!G43</x:f>
        <x:v>17107.27325428449</x:v>
      </x:c>
      <x:c r="D10" s="58" t="n">
        <x:f>C10-B10</x:f>
        <x:v>-14810.036262501191</x:v>
      </x:c>
      <x:c r="E10" s="11" t="str">
        <x:f>IF(B10&lt;C10,"Supplier A lower",IF(C10&lt;B10,"Supplier B lower","Equal"))</x:f>
        <x:v>Supplier B lower</x:v>
      </x:c>
      <x:c r="F10" s="1"/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</x:row>
    <x:row r="11">
      <x:c r="A11" s="69" t="str">
        <x:v>Model status</x:v>
      </x:c>
      <x:c r="B11" s="69" t="str">
        <x:f>'Checks'!D13</x:f>
        <x:v>OK</x:v>
      </x:c>
      <x:c r="C11" s="69" t="str">
        <x:f>'Checks'!D13</x:f>
        <x:v>OK</x:v>
      </x:c>
      <x:c r="D11" s="69"/>
      <x:c r="E11" s="69"/>
      <x:c r="F11" s="1"/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</x:row>
    <x:row r="12">
      <x:c r="A12" s="1"/>
      <x:c r="B12" s="1"/>
      <x:c r="C12" s="1"/>
      <x:c r="D12" s="1"/>
      <x:c r="E12" s="1"/>
      <x:c r="F12" s="1"/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</x:row>
    <x:row r="13">
      <x:c r="A13" s="1"/>
      <x:c r="B13" s="1"/>
      <x:c r="C13" s="1"/>
      <x:c r="D13" s="1"/>
      <x:c r="E13" s="1"/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</x:row>
    <x:row r="14" ht="22" customHeight="1">
      <x:c r="A14" s="31" t="str">
        <x:v>Cumulative discounted TCO by year</x:v>
      </x:c>
      <x:c r="B14" s="31"/>
      <x:c r="C14" s="31"/>
      <x:c r="D14" s="31"/>
      <x:c r="E14" s="31"/>
      <x:c r="F14" s="31"/>
      <x:c r="G14" s="31"/>
      <x:c r="H14" s="1"/>
      <x:c r="I14" s="1"/>
      <x:c r="J14" s="1"/>
      <x:c r="K14" s="1"/>
      <x:c r="L14" s="1"/>
      <x:c r="M14" s="1"/>
      <x:c r="N14" s="1"/>
      <x:c r="O14" s="1"/>
      <x:c r="P14" s="1"/>
      <x:c r="Q14" s="1"/>
    </x:row>
    <x:row r="15">
      <x:c r="A15" s="11" t="str">
        <x:v>Year</x:v>
      </x:c>
      <x:c r="B15" s="11" t="str">
        <x:v>Supplier A</x:v>
      </x:c>
      <x:c r="C15" s="11" t="str">
        <x:v>Supplier B</x:v>
      </x:c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</x:row>
    <x:row r="16">
      <x:c r="A16" s="11" t="str">
        <x:v>Year 0</x:v>
      </x:c>
      <x:c r="B16" s="57" t="n">
        <x:f>'Cash Flow'!B23</x:f>
        <x:v>6510.000000000001</x:v>
      </x:c>
      <x:c r="C16" s="57" t="n">
        <x:f>'Cash Flow'!B43</x:f>
        <x:v>8310</x:v>
      </x:c>
      <x:c r="D16" s="1"/>
      <x:c r="E16" s="1"/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</x:row>
    <x:row r="17">
      <x:c r="A17" s="11" t="str">
        <x:v>Year 1</x:v>
      </x:c>
      <x:c r="B17" s="57" t="n">
        <x:f>'Cash Flow'!C23</x:f>
        <x:v>11939.7507788162</x:v>
      </x:c>
      <x:c r="C17" s="57" t="n">
        <x:f>'Cash Flow'!C43</x:f>
        <x:v>10213.694704049843</x:v>
      </x:c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</x:row>
    <x:row r="18">
      <x:c r="A18" s="11" t="str">
        <x:v>Year 2</x:v>
      </x:c>
      <x:c r="B18" s="57" t="n">
        <x:f>'Cash Flow'!D23</x:f>
        <x:v>17166.520220106562</x:v>
      </x:c>
      <x:c r="C18" s="57" t="n">
        <x:f>'Cash Flow'!D43</x:f>
        <x:v>12046.223250938945</x:v>
      </x:c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</x:row>
    <x:row r="19">
      <x:c r="A19" s="11" t="str">
        <x:v>Year 3</x:v>
      </x:c>
      <x:c r="B19" s="57" t="n">
        <x:f>'Cash Flow'!E23</x:f>
        <x:v>22197.896411255228</x:v>
      </x:c>
      <x:c r="C19" s="57" t="n">
        <x:f>'Cash Flow'!E43</x:f>
        <x:v>13810.246057757427</x:v>
      </x:c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</x:row>
    <x:row r="20">
      <x:c r="A20" s="11" t="str">
        <x:v>Year 4</x:v>
      </x:c>
      <x:c r="B20" s="57" t="n">
        <x:f>'Cash Flow'!F23</x:f>
        <x:v>27041.18377282824</x:v>
      </x:c>
      <x:c r="C20" s="57" t="n">
        <x:f>'Cash Flow'!F43</x:f>
        <x:v>15508.32408675092</x:v>
      </x:c>
      <x:c r="D20" s="1"/>
      <x:c r="E20" s="1"/>
      <x:c r="F20" s="1"/>
      <x:c r="G20" s="1"/>
      <x:c r="H20" s="1"/>
      <x:c r="I20" s="92" t="str">
        <x:v>Formatting legend</x:v>
      </x:c>
      <x:c r="J20" s="92"/>
      <x:c r="K20" s="92"/>
      <x:c r="L20" s="92"/>
      <x:c r="M20" s="92"/>
      <x:c r="N20" s="92"/>
      <x:c r="O20" s="1"/>
      <x:c r="P20" s="1"/>
      <x:c r="Q20" s="1"/>
    </x:row>
    <x:row r="21">
      <x:c r="A21" s="11" t="str">
        <x:v>Year 5</x:v>
      </x:c>
      <x:c r="B21" s="57" t="n">
        <x:f>'Cash Flow'!G23</x:f>
        <x:v>31917.30951678568</x:v>
      </x:c>
      <x:c r="C21" s="57" t="n">
        <x:f>'Cash Flow'!G43</x:f>
        <x:v>17107.27325428449</x:v>
      </x:c>
      <x:c r="D21" s="1"/>
      <x:c r="E21" s="1"/>
      <x:c r="F21" s="1"/>
      <x:c r="G21" s="1"/>
      <x:c r="H21" s="1"/>
      <x:c r="I21" s="13" t="str">
        <x:v>Blue text / pale gold</x:v>
      </x:c>
      <x:c r="J21" s="11" t="str">
        <x:v>Editable input</x:v>
      </x:c>
      <x:c r="K21" s="1"/>
      <x:c r="L21" s="1"/>
      <x:c r="M21" s="1"/>
      <x:c r="N21" s="1"/>
      <x:c r="O21" s="1"/>
      <x:c r="P21" s="1"/>
      <x:c r="Q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61" t="str">
        <x:v>Green text</x:v>
      </x:c>
      <x:c r="J22" s="11" t="str">
        <x:v>Cross-sheet formula</x:v>
      </x:c>
      <x:c r="K22" s="1"/>
      <x:c r="L22" s="1"/>
      <x:c r="M22" s="1"/>
      <x:c r="N22" s="1"/>
      <x:c r="O22" s="1"/>
      <x:c r="P22" s="1"/>
      <x:c r="Q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1" t="str">
        <x:v>Black text</x:v>
      </x:c>
      <x:c r="J23" s="11" t="str">
        <x:v>Calculated / explanatory</x:v>
      </x:c>
      <x:c r="K23" s="1"/>
      <x:c r="L23" s="1"/>
      <x:c r="M23" s="1"/>
      <x:c r="N23" s="1"/>
      <x:c r="O23" s="1"/>
      <x:c r="P23" s="1"/>
      <x:c r="Q23" s="1"/>
    </x:row>
    <x:row r="24">
      <x:c r="A24" s="71" t="str">
        <x:v>How to use this dashboard</x:v>
      </x:c>
      <x:c r="B24" s="71"/>
      <x:c r="C24" s="71"/>
      <x:c r="D24" s="71"/>
      <x:c r="E24" s="71"/>
      <x:c r="F24" s="71"/>
      <x:c r="G24" s="71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73" t="str">
        <x:v>1. Replace all blue cells on Assumptions. 2. Confirm the options deliver the same guest experience and service outcome. 3. Review the cash-flow timing and sensitivity cases. 4. Use the lowest defensible TCO—not the lowest quoted unit price—as one input to the award decision.</x:v>
      </x:c>
      <x:c r="B25" s="73"/>
      <x:c r="C25" s="73"/>
      <x:c r="D25" s="73"/>
      <x:c r="E25" s="73"/>
      <x:c r="F25" s="73"/>
      <x:c r="G25" s="73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73"/>
      <x:c r="B26" s="73"/>
      <x:c r="C26" s="73"/>
      <x:c r="D26" s="73"/>
      <x:c r="E26" s="73"/>
      <x:c r="F26" s="73"/>
      <x:c r="G26" s="73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73"/>
      <x:c r="B27" s="73"/>
      <x:c r="C27" s="73"/>
      <x:c r="D27" s="73"/>
      <x:c r="E27" s="73"/>
      <x:c r="F27" s="73"/>
      <x:c r="G27" s="73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</x:sheetData>
  <x:mergeCells>
    <x:mergeCell ref="A1:N1"/>
    <x:mergeCell ref="A2:N2"/>
    <x:mergeCell ref="A14:G14"/>
    <x:mergeCell ref="A24:G24"/>
    <x:mergeCell ref="A25:G27"/>
    <x:mergeCell ref="I20:N20"/>
  </x:mergeCells>
  <x:pageMargins left="0.7" right="0.7" top="0.75" bottom="0.75" header="0.3" footer="0.3"/>
  <x:drawing xmlns:r="http://schemas.openxmlformats.org/officeDocument/2006/relationships" r:id="R3844f2eed16e4d98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3" hidden="0" customWidth="1"/>
    <x:col min="2" max="2" width="20" hidden="0" customWidth="1"/>
    <x:col min="3" max="3" width="16" hidden="0" customWidth="1"/>
    <x:col min="4" max="4" width="16" hidden="0" customWidth="1"/>
    <x:col min="5" max="5" width="16" hidden="0" customWidth="1"/>
    <x:col min="6" max="6" width="52" hidden="0" customWidth="1"/>
    <x:col min="7" max="7" width="14" hidden="0" customWidth="1"/>
  </x:cols>
  <x:sheetData>
    <x:row r="1" ht="30" customHeight="1">
      <x:c r="A1" s="4" t="str">
        <x:v>Five-Year Guest Room Supplies TCO Model</x:v>
      </x:c>
      <x:c r="B1" s="4"/>
      <x:c r="C1" s="4"/>
      <x:c r="D1" s="4"/>
      <x:c r="E1" s="4"/>
      <x:c r="F1" s="4"/>
      <x:c r="G1" s="4"/>
      <x:c r="H1" s="1"/>
      <x:c r="I1" s="1"/>
      <x:c r="J1" s="1"/>
      <x:c r="K1" s="1"/>
      <x:c r="L1" s="1"/>
      <x:c r="M1" s="1"/>
      <x:c r="N1" s="1"/>
      <x:c r="O1" s="1"/>
      <x:c r="P1" s="1"/>
      <x:c r="Q1" s="1"/>
    </x:row>
    <x:row r="2" ht="30" customHeight="1">
      <x:c r="A2" s="7" t="str">
        <x:v>Illustrative USD inputs — replace blue cells with property-specific data before making a decision.</x:v>
      </x:c>
      <x:c r="B2" s="7"/>
      <x:c r="C2" s="7"/>
      <x:c r="D2" s="7"/>
      <x:c r="E2" s="7"/>
      <x:c r="F2" s="7"/>
      <x:c r="G2" s="7"/>
      <x:c r="H2" s="1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0" t="str">
        <x:v>Input</x:v>
      </x:c>
      <x:c r="B4" s="10" t="str">
        <x:v>Units</x:v>
      </x:c>
      <x:c r="C4" s="10" t="str">
        <x:v>Shared</x:v>
      </x:c>
      <x:c r="D4" s="10" t="str">
        <x:v>Supplier A</x:v>
      </x:c>
      <x:c r="E4" s="10" t="str">
        <x:v>Supplier B</x:v>
      </x:c>
      <x:c r="F4" s="10" t="str">
        <x:v>Input guidance</x:v>
      </x:c>
      <x:c r="G4" s="10" t="str">
        <x:v>Status</x:v>
      </x:c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 ht="15" hidden="0" customHeight="1">
      <x:c r="A5" s="23" t="str">
        <x:v>Room count</x:v>
      </x:c>
      <x:c r="B5" s="23" t="str">
        <x:v>rooms</x:v>
      </x:c>
      <x:c r="C5" s="24" t="n">
        <x:v>200</x:v>
      </x:c>
      <x:c r="D5" s="23"/>
      <x:c r="E5" s="23"/>
      <x:c r="F5" s="23" t="str">
        <x:v>Use the rooms served by this product family.</x:v>
      </x:c>
      <x:c r="G5" s="23" t="str">
        <x:v>Illustrative</x:v>
      </x:c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 ht="15" hidden="0" customHeight="1">
      <x:c r="A6" s="23" t="str">
        <x:v>Units per room</x:v>
      </x:c>
      <x:c r="B6" s="23" t="str">
        <x:v>units</x:v>
      </x:c>
      <x:c r="C6" s="24" t="n">
        <x:v>1</x:v>
      </x:c>
      <x:c r="D6" s="23"/>
      <x:c r="E6" s="23"/>
      <x:c r="F6" s="23" t="str">
        <x:v>Hold the service requirement constant across suppliers.</x:v>
      </x:c>
      <x:c r="G6" s="23" t="str">
        <x:v>Illustrative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 ht="15" hidden="0" customHeight="1">
      <x:c r="A7" s="23" t="str">
        <x:v>Opening spare rate</x:v>
      </x:c>
      <x:c r="B7" s="23" t="str">
        <x:v>% of installed</x:v>
      </x:c>
      <x:c r="C7" s="25" t="n">
        <x:v>0.1</x:v>
      </x:c>
      <x:c r="D7" s="23"/>
      <x:c r="E7" s="23"/>
      <x:c r="F7" s="23" t="str">
        <x:v>Include the opening spare pool, not annual loss.</x:v>
      </x:c>
      <x:c r="G7" s="23" t="str">
        <x:v>Illustrative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 ht="15" hidden="0" customHeight="1">
      <x:c r="A8" s="23" t="str">
        <x:v>Annual occupied room-nights</x:v>
      </x:c>
      <x:c r="B8" s="23" t="str">
        <x:v>room-nights</x:v>
      </x:c>
      <x:c r="C8" s="24" t="n">
        <x:v>51100</x:v>
      </x:c>
      <x:c r="D8" s="23"/>
      <x:c r="E8" s="23"/>
      <x:c r="F8" s="23" t="str">
        <x:v>Rooms × 365 × expected occupancy, adjusted if needed.</x:v>
      </x:c>
      <x:c r="G8" s="23" t="str">
        <x:v>Illustrative</x:v>
      </x:c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 ht="15" hidden="0" customHeight="1">
      <x:c r="A9" s="23" t="str">
        <x:v>Loaded labor rate</x:v>
      </x:c>
      <x:c r="B9" s="23" t="str">
        <x:v>USD/hour</x:v>
      </x:c>
      <x:c r="C9" s="24" t="n">
        <x:v>22</x:v>
      </x:c>
      <x:c r="D9" s="23"/>
      <x:c r="E9" s="23"/>
      <x:c r="F9" s="23" t="str">
        <x:v>Include wages, benefits and payroll burden.</x:v>
      </x:c>
      <x:c r="G9" s="23" t="str">
        <x:v>Illustrative</x:v>
      </x:c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 ht="15" hidden="0" customHeight="1">
      <x:c r="A10" s="23" t="str">
        <x:v>Nominal discount rate</x:v>
      </x:c>
      <x:c r="B10" s="23" t="str">
        <x:v>%</x:v>
      </x:c>
      <x:c r="C10" s="25" t="n">
        <x:v>0.07</x:v>
      </x:c>
      <x:c r="D10" s="23"/>
      <x:c r="E10" s="23"/>
      <x:c r="F10" s="23" t="str">
        <x:v>Use a rate consistent with nominal cash flows.</x:v>
      </x:c>
      <x:c r="G10" s="23" t="str">
        <x:v>Illustrative</x:v>
      </x:c>
      <x:c r="H10" s="1"/>
      <x:c r="I10" s="1"/>
      <x:c r="J10" s="1"/>
      <x:c r="K10" s="1"/>
      <x:c r="L10" s="1"/>
      <x:c r="M10" s="1"/>
      <x:c r="N10" s="1"/>
      <x:c r="O10" s="1"/>
      <x:c r="P10" s="1"/>
      <x:c r="Q10" s="1"/>
    </x:row>
    <x:row r="11" ht="15" hidden="0" customHeight="1">
      <x:c r="A11" s="23" t="str">
        <x:v>Annual cost escalation</x:v>
      </x:c>
      <x:c r="B11" s="23" t="str">
        <x:v>%</x:v>
      </x:c>
      <x:c r="C11" s="25" t="n">
        <x:v>0.03</x:v>
      </x:c>
      <x:c r="D11" s="23"/>
      <x:c r="E11" s="23"/>
      <x:c r="F11" s="23" t="str">
        <x:v>Apply consistently to future nominal costs.</x:v>
      </x:c>
      <x:c r="G11" s="23" t="str">
        <x:v>Illustrative</x:v>
      </x:c>
      <x:c r="H11" s="1"/>
      <x:c r="I11" s="1"/>
      <x:c r="J11" s="1"/>
      <x:c r="K11" s="1"/>
      <x:c r="L11" s="1"/>
      <x:c r="M11" s="1"/>
      <x:c r="N11" s="1"/>
      <x:c r="O11" s="1"/>
      <x:c r="P11" s="1"/>
      <x:c r="Q11" s="1"/>
    </x:row>
    <x:row r="12" ht="15" hidden="0" customHeight="1">
      <x:c r="A12" s="23" t="str">
        <x:v>Inventory carrying rate</x:v>
      </x:c>
      <x:c r="B12" s="23" t="str">
        <x:v>% of value</x:v>
      </x:c>
      <x:c r="C12" s="25" t="n">
        <x:v>0.18</x:v>
      </x:c>
      <x:c r="D12" s="23"/>
      <x:c r="E12" s="23"/>
      <x:c r="F12" s="23" t="str">
        <x:v>Include capital, storage, handling and obsolescence.</x:v>
      </x:c>
      <x:c r="G12" s="23" t="str">
        <x:v>Illustrative</x:v>
      </x:c>
      <x:c r="H12" s="1"/>
      <x:c r="I12" s="1"/>
      <x:c r="J12" s="1"/>
      <x:c r="K12" s="1"/>
      <x:c r="L12" s="1"/>
      <x:c r="M12" s="1"/>
      <x:c r="N12" s="1"/>
      <x:c r="O12" s="1"/>
      <x:c r="P12" s="1"/>
      <x:c r="Q12" s="1"/>
    </x:row>
    <x:row r="13" ht="15" hidden="0" customHeight="1">
      <x:c r="A13" s="23" t="str">
        <x:v>Opening unit price</x:v>
      </x:c>
      <x:c r="B13" s="23" t="str">
        <x:v>USD/unit</x:v>
      </x:c>
      <x:c r="C13" s="23"/>
      <x:c r="D13" s="26" t="n">
        <x:v>22</x:v>
      </x:c>
      <x:c r="E13" s="26" t="n">
        <x:v>29</x:v>
      </x:c>
      <x:c r="F13" s="23" t="str">
        <x:v>Quoted product price before landed-cost additions.</x:v>
      </x:c>
      <x:c r="G13" s="23" t="str">
        <x:v>Illustrative</x:v>
      </x:c>
      <x:c r="H13" s="1"/>
      <x:c r="I13" s="1"/>
      <x:c r="J13" s="1"/>
      <x:c r="K13" s="1"/>
      <x:c r="L13" s="1"/>
      <x:c r="M13" s="1"/>
      <x:c r="N13" s="1"/>
      <x:c r="O13" s="1"/>
      <x:c r="P13" s="1"/>
      <x:c r="Q13" s="1"/>
    </x:row>
    <x:row r="14" ht="15" hidden="0" customHeight="1">
      <x:c r="A14" s="23" t="str">
        <x:v>Freight and import cost</x:v>
      </x:c>
      <x:c r="B14" s="23" t="str">
        <x:v>USD/opening unit</x:v>
      </x:c>
      <x:c r="C14" s="23"/>
      <x:c r="D14" s="26" t="n">
        <x:v>3.5</x:v>
      </x:c>
      <x:c r="E14" s="26" t="n">
        <x:v>4</x:v>
      </x:c>
      <x:c r="F14" s="23" t="str">
        <x:v>Freight, insurance, duty and similar landed costs.</x:v>
      </x:c>
      <x:c r="G14" s="23" t="str">
        <x:v>Illustrative</x:v>
      </x:c>
      <x:c r="H14" s="1"/>
      <x:c r="I14" s="1"/>
      <x:c r="J14" s="1"/>
      <x:c r="K14" s="1"/>
      <x:c r="L14" s="1"/>
      <x:c r="M14" s="1"/>
      <x:c r="N14" s="1"/>
      <x:c r="O14" s="1"/>
      <x:c r="P14" s="1"/>
      <x:c r="Q14" s="1"/>
    </x:row>
    <x:row r="15" ht="15" hidden="0" customHeight="1">
      <x:c r="A15" s="23" t="str">
        <x:v>Inspection and deployment</x:v>
      </x:c>
      <x:c r="B15" s="23" t="str">
        <x:v>USD lump sum</x:v>
      </x:c>
      <x:c r="C15" s="23"/>
      <x:c r="D15" s="26" t="n">
        <x:v>900</x:v>
      </x:c>
      <x:c r="E15" s="26" t="n">
        <x:v>1050</x:v>
      </x:c>
      <x:c r="F15" s="23" t="str">
        <x:v>Sampling, inspection, receiving, setup and training.</x:v>
      </x:c>
      <x:c r="G15" s="23" t="str">
        <x:v>Illustrative</x:v>
      </x:c>
      <x:c r="H15" s="1"/>
      <x:c r="I15" s="1"/>
      <x:c r="J15" s="1"/>
      <x:c r="K15" s="1"/>
      <x:c r="L15" s="1"/>
      <x:c r="M15" s="1"/>
      <x:c r="N15" s="1"/>
      <x:c r="O15" s="1"/>
      <x:c r="P15" s="1"/>
      <x:c r="Q15" s="1"/>
    </x:row>
    <x:row r="16" ht="15" hidden="0" customHeight="1">
      <x:c r="A16" s="23" t="str">
        <x:v>Annual loss / breakage rate</x:v>
      </x:c>
      <x:c r="B16" s="23" t="str">
        <x:v>% of installed</x:v>
      </x:c>
      <x:c r="C16" s="23"/>
      <x:c r="D16" s="25" t="n">
        <x:v>0.12</x:v>
      </x:c>
      <x:c r="E16" s="25" t="n">
        <x:v>0.06</x:v>
      </x:c>
      <x:c r="F16" s="23" t="str">
        <x:v>Use observed loss, damage and unserviceable rates.</x:v>
      </x:c>
      <x:c r="G16" s="23" t="str">
        <x:v>Illustrative</x:v>
      </x:c>
      <x:c r="H16" s="1"/>
      <x:c r="I16" s="1"/>
      <x:c r="J16" s="1"/>
      <x:c r="K16" s="1"/>
      <x:c r="L16" s="1"/>
      <x:c r="M16" s="1"/>
      <x:c r="N16" s="1"/>
      <x:c r="O16" s="1"/>
      <x:c r="P16" s="1"/>
      <x:c r="Q16" s="1"/>
    </x:row>
    <x:row r="17" ht="15" hidden="0" customHeight="1">
      <x:c r="A17" s="23" t="str">
        <x:v>Replacement unit price</x:v>
      </x:c>
      <x:c r="B17" s="23" t="str">
        <x:v>USD/unit</x:v>
      </x:c>
      <x:c r="C17" s="23"/>
      <x:c r="D17" s="26" t="n">
        <x:v>25</x:v>
      </x:c>
      <x:c r="E17" s="26" t="n">
        <x:v>31</x:v>
      </x:c>
      <x:c r="F17" s="23" t="str">
        <x:v>Base-year replacement price before escalation.</x:v>
      </x:c>
      <x:c r="G17" s="23" t="str">
        <x:v>Illustrative</x:v>
      </x:c>
      <x:c r="H17" s="1"/>
      <x:c r="I17" s="1"/>
      <x:c r="J17" s="1"/>
      <x:c r="K17" s="1"/>
      <x:c r="L17" s="1"/>
      <x:c r="M17" s="1"/>
      <x:c r="N17" s="1"/>
      <x:c r="O17" s="1"/>
      <x:c r="P17" s="1"/>
      <x:c r="Q17" s="1"/>
    </x:row>
    <x:row r="18" ht="15" hidden="0" customHeight="1">
      <x:c r="A18" s="23" t="str">
        <x:v>Annual replenishment logistics</x:v>
      </x:c>
      <x:c r="B18" s="23" t="str">
        <x:v>USD/year</x:v>
      </x:c>
      <x:c r="C18" s="23"/>
      <x:c r="D18" s="26" t="n">
        <x:v>400</x:v>
      </x:c>
      <x:c r="E18" s="26" t="n">
        <x:v>300</x:v>
      </x:c>
      <x:c r="F18" s="23" t="str">
        <x:v>Recurring freight, receiving and inspection.</x:v>
      </x:c>
      <x:c r="G18" s="23" t="str">
        <x:v>Illustrative</x:v>
      </x:c>
      <x:c r="H18" s="1"/>
      <x:c r="I18" s="1"/>
      <x:c r="J18" s="1"/>
      <x:c r="K18" s="1"/>
      <x:c r="L18" s="1"/>
      <x:c r="M18" s="1"/>
      <x:c r="N18" s="1"/>
      <x:c r="O18" s="1"/>
      <x:c r="P18" s="1"/>
      <x:c r="Q18" s="1"/>
    </x:row>
    <x:row r="19" ht="15" hidden="0" customHeight="1">
      <x:c r="A19" s="23" t="str">
        <x:v>Labor minutes per occupied room-night</x:v>
      </x:c>
      <x:c r="B19" s="23" t="str">
        <x:v>minutes</x:v>
      </x:c>
      <x:c r="C19" s="23"/>
      <x:c r="D19" s="27" t="n">
        <x:v>0.2</x:v>
      </x:c>
      <x:c r="E19" s="27" t="n">
        <x:v>0.05</x:v>
      </x:c>
      <x:c r="F19" s="23" t="str">
        <x:v>Only include measured incremental labor caused by the option.</x:v>
      </x:c>
      <x:c r="G19" s="23" t="str">
        <x:v>Illustrative</x:v>
      </x:c>
      <x:c r="H19" s="1"/>
      <x:c r="I19" s="1"/>
      <x:c r="J19" s="1"/>
      <x:c r="K19" s="1"/>
      <x:c r="L19" s="1"/>
      <x:c r="M19" s="1"/>
      <x:c r="N19" s="1"/>
      <x:c r="O19" s="1"/>
      <x:c r="P19" s="1"/>
      <x:c r="Q19" s="1"/>
    </x:row>
    <x:row r="20" ht="15" hidden="0" customHeight="1">
      <x:c r="A20" s="23" t="str">
        <x:v>Annual defect / service-recovery cost</x:v>
      </x:c>
      <x:c r="B20" s="23" t="str">
        <x:v>USD/year</x:v>
      </x:c>
      <x:c r="C20" s="23"/>
      <x:c r="D20" s="26" t="n">
        <x:v>800</x:v>
      </x:c>
      <x:c r="E20" s="26" t="n">
        <x:v>250</x:v>
      </x:c>
      <x:c r="F20" s="23" t="str">
        <x:v>Avoid double-counting costs already captured elsewhere.</x:v>
      </x:c>
      <x:c r="G20" s="23" t="str">
        <x:v>Illustrative</x:v>
      </x:c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 ht="15" hidden="0" customHeight="1">
      <x:c r="A21" s="23" t="str">
        <x:v>Average spare inventory</x:v>
      </x:c>
      <x:c r="B21" s="23" t="str">
        <x:v>units</x:v>
      </x:c>
      <x:c r="C21" s="23"/>
      <x:c r="D21" s="28" t="n">
        <x:v>25</x:v>
      </x:c>
      <x:c r="E21" s="28" t="n">
        <x:v>14</x:v>
      </x:c>
      <x:c r="F21" s="23" t="str">
        <x:v>Average on-hand replenishment stock.</x:v>
      </x:c>
      <x:c r="G21" s="23" t="str">
        <x:v>Illustrative</x:v>
      </x:c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 ht="15" hidden="0" customHeight="1">
      <x:c r="A22" s="23" t="str">
        <x:v>Annual other operating cost</x:v>
      </x:c>
      <x:c r="B22" s="23" t="str">
        <x:v>USD/year</x:v>
      </x:c>
      <x:c r="C22" s="23"/>
      <x:c r="D22" s="26" t="n">
        <x:v>150</x:v>
      </x:c>
      <x:c r="E22" s="26" t="n">
        <x:v>100</x:v>
      </x:c>
      <x:c r="F22" s="23" t="str">
        <x:v>Consumables, utilities or recurring option-specific costs.</x:v>
      </x:c>
      <x:c r="G22" s="23" t="str">
        <x:v>Illustrative</x:v>
      </x:c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 ht="15" hidden="0" customHeight="1">
      <x:c r="A23" s="23" t="str">
        <x:v>Disposal cost</x:v>
      </x:c>
      <x:c r="B23" s="23" t="str">
        <x:v>USD/installed unit</x:v>
      </x:c>
      <x:c r="C23" s="23"/>
      <x:c r="D23" s="26" t="n">
        <x:v>1.5</x:v>
      </x:c>
      <x:c r="E23" s="26" t="n">
        <x:v>1.5</x:v>
      </x:c>
      <x:c r="F23" s="23" t="str">
        <x:v>End-of-period removal, recycling or disposal.</x:v>
      </x:c>
      <x:c r="G23" s="23" t="str">
        <x:v>Illustrative</x:v>
      </x:c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 ht="15" hidden="0" customHeight="1">
      <x:c r="A24" s="23" t="str">
        <x:v>Residual value in Year 5</x:v>
      </x:c>
      <x:c r="B24" s="23" t="str">
        <x:v>USD</x:v>
      </x:c>
      <x:c r="C24" s="23"/>
      <x:c r="D24" s="26" t="n">
        <x:v>0</x:v>
      </x:c>
      <x:c r="E24" s="26" t="n">
        <x:v>350</x:v>
      </x:c>
      <x:c r="F24" s="23" t="str">
        <x:v>Expected recoverable value; enter as a positive benefit.</x:v>
      </x:c>
      <x:c r="G24" s="23" t="str">
        <x:v>Illustrative</x:v>
      </x:c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29"/>
      <x:c r="B25" s="29"/>
      <x:c r="C25" s="29"/>
      <x:c r="D25" s="29"/>
      <x:c r="E25" s="29"/>
      <x:c r="F25" s="29"/>
      <x:c r="G25" s="29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22" t="str">
        <x:v>Model conventions</x:v>
      </x:c>
      <x:c r="B26" s="21"/>
      <x:c r="C26" s="21"/>
      <x:c r="D26" s="21"/>
      <x:c r="E26" s="21"/>
      <x:c r="F26" s="21"/>
      <x:c r="G26" s="21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21" t="str">
        <x:v>Timing: opening acquisition and deployment occur in Year 0; recurring costs occur at each year-end; disposal and residual value occur in Year 5.</x:v>
      </x:c>
      <x:c r="B27" s="21"/>
      <x:c r="C27" s="21"/>
      <x:c r="D27" s="21"/>
      <x:c r="E27" s="21"/>
      <x:c r="F27" s="21"/>
      <x:c r="G27" s="21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21" t="str">
        <x:v>Inflation: costs are modeled in nominal USD and discounted with a nominal rate. If you use constant-dollar costs, replace both escalation and discount assumptions consistently.</x:v>
      </x:c>
      <x:c r="B28" s="21"/>
      <x:c r="C28" s="21"/>
      <x:c r="D28" s="21"/>
      <x:c r="E28" s="21"/>
      <x:c r="F28" s="21"/>
      <x:c r="G28" s="2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21" t="str">
        <x:v>Decision rule: compare options only after specifications, service level, room count, quantity, destination and tax treatment are aligned.</x:v>
      </x:c>
      <x:c r="B29" s="21"/>
      <x:c r="C29" s="21"/>
      <x:c r="D29" s="21"/>
      <x:c r="E29" s="21"/>
      <x:c r="F29" s="21"/>
      <x:c r="G29" s="2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</x:sheetData>
  <x:mergeCells>
    <x:mergeCell ref="A1:G1"/>
    <x:mergeCell ref="A2:G2"/>
    <x:mergeCell ref="A26:G26"/>
    <x:mergeCell ref="A27:G27"/>
    <x:mergeCell ref="A28:G28"/>
    <x:mergeCell ref="A29:G29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2" hidden="0" customWidth="1"/>
    <x:col min="2" max="2" width="14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</x:cols>
  <x:sheetData>
    <x:row r="1" ht="30" customHeight="1">
      <x:c r="A1" s="4" t="str">
        <x:v>Five-Year TCO Cash Flow</x:v>
      </x:c>
      <x:c r="B1" s="4"/>
      <x:c r="C1" s="4"/>
      <x:c r="D1" s="4"/>
      <x:c r="E1" s="4"/>
      <x:c r="F1" s="4"/>
      <x:c r="G1" s="4"/>
      <x:c r="H1" s="4"/>
      <x:c r="I1" s="1"/>
      <x:c r="J1" s="1"/>
      <x:c r="K1" s="1"/>
      <x:c r="L1" s="1"/>
      <x:c r="M1" s="1"/>
      <x:c r="N1" s="1"/>
      <x:c r="O1" s="1"/>
      <x:c r="P1" s="1"/>
      <x:c r="Q1" s="1"/>
    </x:row>
    <x:row r="2" ht="30" customHeight="1">
      <x:c r="A2" s="7" t="str">
        <x:v>Formula-driven annual costs. Positive values are costs; residual value is shown as a negative cost.</x:v>
      </x:c>
      <x:c r="B2" s="7"/>
      <x:c r="C2" s="7"/>
      <x:c r="D2" s="7"/>
      <x:c r="E2" s="7"/>
      <x:c r="F2" s="7"/>
      <x:c r="G2" s="7"/>
      <x:c r="H2" s="7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45" t="str">
        <x:v>Cost category</x:v>
      </x:c>
      <x:c r="B4" s="45" t="str">
        <x:v>Year 0</x:v>
      </x:c>
      <x:c r="C4" s="45" t="str">
        <x:v>Year 1</x:v>
      </x:c>
      <x:c r="D4" s="45" t="str">
        <x:v>Year 2</x:v>
      </x:c>
      <x:c r="E4" s="45" t="str">
        <x:v>Year 3</x:v>
      </x:c>
      <x:c r="F4" s="45" t="str">
        <x:v>Year 4</x:v>
      </x:c>
      <x:c r="G4" s="45" t="str">
        <x:v>Year 5</x:v>
      </x:c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46"/>
      <x:c r="B5" s="46"/>
      <x:c r="C5" s="46"/>
      <x:c r="D5" s="46"/>
      <x:c r="E5" s="46"/>
      <x:c r="F5" s="46"/>
      <x:c r="G5" s="46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 ht="22" customHeight="1">
      <x:c r="A6" s="47" t="str">
        <x:v>Supplier A</x:v>
      </x:c>
      <x:c r="B6" s="47"/>
      <x:c r="C6" s="47"/>
      <x:c r="D6" s="47"/>
      <x:c r="E6" s="47"/>
      <x:c r="F6" s="47"/>
      <x:c r="G6" s="47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46" t="str">
        <x:v>Opening quantity</x:v>
      </x:c>
      <x:c r="B7" s="48" t="n">
        <x:f>'Assumptions'!$C$5*'Assumptions'!$C$6*(1+'Assumptions'!$C$7)</x:f>
        <x:v>220.00000000000003</x:v>
      </x:c>
      <x:c r="C7" s="48"/>
      <x:c r="D7" s="48"/>
      <x:c r="E7" s="48"/>
      <x:c r="F7" s="48"/>
      <x:c r="G7" s="48"/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46" t="str">
        <x:v>Opening purchase</x:v>
      </x:c>
      <x:c r="B8" s="49" t="n">
        <x:f>B7*'Assumptions'!$D$13</x:f>
        <x:v>4840.000000000001</x:v>
      </x:c>
      <x:c r="C8" s="49"/>
      <x:c r="D8" s="49"/>
      <x:c r="E8" s="49"/>
      <x:c r="F8" s="49"/>
      <x:c r="G8" s="49"/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46" t="str">
        <x:v>Opening freight and import</x:v>
      </x:c>
      <x:c r="B9" s="49" t="n">
        <x:f>B7*'Assumptions'!$D$14</x:f>
        <x:v>770.0000000000001</x:v>
      </x:c>
      <x:c r="C9" s="49"/>
      <x:c r="D9" s="49"/>
      <x:c r="E9" s="49"/>
      <x:c r="F9" s="49"/>
      <x:c r="G9" s="49"/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>
      <x:c r="A10" s="46" t="str">
        <x:v>Inspection and deployment</x:v>
      </x:c>
      <x:c r="B10" s="49" t="n">
        <x:f>'Assumptions'!$D$15</x:f>
        <x:v>900</x:v>
      </x:c>
      <x:c r="C10" s="49"/>
      <x:c r="D10" s="49"/>
      <x:c r="E10" s="49"/>
      <x:c r="F10" s="49"/>
      <x:c r="G10" s="49"/>
      <x:c r="H10" s="1"/>
      <x:c r="I10" s="1"/>
      <x:c r="J10" s="1"/>
      <x:c r="K10" s="1"/>
      <x:c r="L10" s="1"/>
      <x:c r="M10" s="1"/>
      <x:c r="N10" s="1"/>
      <x:c r="O10" s="1"/>
      <x:c r="P10" s="1"/>
      <x:c r="Q10" s="1"/>
    </x:row>
    <x:row r="11">
      <x:c r="A11" s="46" t="str">
        <x:v>Replacement quantity</x:v>
      </x:c>
      <x:c r="B11" s="48"/>
      <x:c r="C11" s="48" t="n">
        <x:f>'Assumptions'!$C$5*'Assumptions'!$C$6*'Assumptions'!$D$16</x:f>
        <x:v>24</x:v>
      </x:c>
      <x:c r="D11" s="48" t="n">
        <x:f>'Assumptions'!$C$5*'Assumptions'!$C$6*'Assumptions'!$D$16</x:f>
        <x:v>24</x:v>
      </x:c>
      <x:c r="E11" s="48" t="n">
        <x:f>'Assumptions'!$C$5*'Assumptions'!$C$6*'Assumptions'!$D$16</x:f>
        <x:v>24</x:v>
      </x:c>
      <x:c r="F11" s="48" t="n">
        <x:f>'Assumptions'!$C$5*'Assumptions'!$C$6*'Assumptions'!$D$16</x:f>
        <x:v>24</x:v>
      </x:c>
      <x:c r="G11" s="48" t="n">
        <x:f>'Assumptions'!$C$5*'Assumptions'!$C$6*'Assumptions'!$D$16</x:f>
        <x:v>24</x:v>
      </x:c>
      <x:c r="H11" s="1"/>
      <x:c r="I11" s="1"/>
      <x:c r="J11" s="1"/>
      <x:c r="K11" s="1"/>
      <x:c r="L11" s="1"/>
      <x:c r="M11" s="1"/>
      <x:c r="N11" s="1"/>
      <x:c r="O11" s="1"/>
      <x:c r="P11" s="1"/>
      <x:c r="Q11" s="1"/>
    </x:row>
    <x:row r="12">
      <x:c r="A12" s="46" t="str">
        <x:v>Replacement purchase</x:v>
      </x:c>
      <x:c r="B12" s="49"/>
      <x:c r="C12" s="49" t="n">
        <x:f>C11*'Assumptions'!$D$17*(1+'Assumptions'!$C$11)^(1-1)</x:f>
        <x:v>600</x:v>
      </x:c>
      <x:c r="D12" s="49" t="n">
        <x:f>D11*'Assumptions'!$D$17*(1+'Assumptions'!$C$11)^(2-1)</x:f>
        <x:v>618</x:v>
      </x:c>
      <x:c r="E12" s="49" t="n">
        <x:f>E11*'Assumptions'!$D$17*(1+'Assumptions'!$C$11)^(3-1)</x:f>
        <x:v>636.54</x:v>
      </x:c>
      <x:c r="F12" s="49" t="n">
        <x:f>F11*'Assumptions'!$D$17*(1+'Assumptions'!$C$11)^(4-1)</x:f>
        <x:v>655.6362</x:v>
      </x:c>
      <x:c r="G12" s="49" t="n">
        <x:f>G11*'Assumptions'!$D$17*(1+'Assumptions'!$C$11)^(5-1)</x:f>
        <x:v>675.3052860000001</x:v>
      </x:c>
      <x:c r="H12" s="1"/>
      <x:c r="I12" s="1"/>
      <x:c r="J12" s="1"/>
      <x:c r="K12" s="1"/>
      <x:c r="L12" s="1"/>
      <x:c r="M12" s="1"/>
      <x:c r="N12" s="1"/>
      <x:c r="O12" s="1"/>
      <x:c r="P12" s="1"/>
      <x:c r="Q12" s="1"/>
    </x:row>
    <x:row r="13">
      <x:c r="A13" s="46" t="str">
        <x:v>Replenishment logistics</x:v>
      </x:c>
      <x:c r="B13" s="49"/>
      <x:c r="C13" s="49" t="n">
        <x:f>'Assumptions'!$D$18*(1+'Assumptions'!$C$11)^(1-1)</x:f>
        <x:v>400</x:v>
      </x:c>
      <x:c r="D13" s="49" t="n">
        <x:f>'Assumptions'!$D$18*(1+'Assumptions'!$C$11)^(2-1)</x:f>
        <x:v>412</x:v>
      </x:c>
      <x:c r="E13" s="49" t="n">
        <x:f>'Assumptions'!$D$18*(1+'Assumptions'!$C$11)^(3-1)</x:f>
        <x:v>424.35999999999996</x:v>
      </x:c>
      <x:c r="F13" s="49" t="n">
        <x:f>'Assumptions'!$D$18*(1+'Assumptions'!$C$11)^(4-1)</x:f>
        <x:v>437.0908</x:v>
      </x:c>
      <x:c r="G13" s="49" t="n">
        <x:f>'Assumptions'!$D$18*(1+'Assumptions'!$C$11)^(5-1)</x:f>
        <x:v>450.2035240000001</x:v>
      </x:c>
      <x:c r="H13" s="1"/>
      <x:c r="I13" s="1"/>
      <x:c r="J13" s="1"/>
      <x:c r="K13" s="1"/>
      <x:c r="L13" s="1"/>
      <x:c r="M13" s="1"/>
      <x:c r="N13" s="1"/>
      <x:c r="O13" s="1"/>
      <x:c r="P13" s="1"/>
      <x:c r="Q13" s="1"/>
    </x:row>
    <x:row r="14">
      <x:c r="A14" s="46" t="str">
        <x:v>Incremental labor</x:v>
      </x:c>
      <x:c r="B14" s="49"/>
      <x:c r="C14" s="49" t="n">
        <x:f>'Assumptions'!$C$8*'Assumptions'!$D$19/60*'Assumptions'!$C$9*(1+'Assumptions'!$C$11)^(1-1)</x:f>
        <x:v>3747.3333333333335</x:v>
      </x:c>
      <x:c r="D14" s="49" t="n">
        <x:f>'Assumptions'!$C$8*'Assumptions'!$D$19/60*'Assumptions'!$C$9*(1+'Assumptions'!$C$11)^(2-1)</x:f>
        <x:v>3859.7533333333336</x:v>
      </x:c>
      <x:c r="E14" s="49" t="n">
        <x:f>'Assumptions'!$C$8*'Assumptions'!$D$19/60*'Assumptions'!$C$9*(1+'Assumptions'!$C$11)^(3-1)</x:f>
        <x:v>3975.5459333333333</x:v>
      </x:c>
      <x:c r="F14" s="49" t="n">
        <x:f>'Assumptions'!$C$8*'Assumptions'!$D$19/60*'Assumptions'!$C$9*(1+'Assumptions'!$C$11)^(4-1)</x:f>
        <x:v>4094.8123113333336</x:v>
      </x:c>
      <x:c r="G14" s="49" t="n">
        <x:f>'Assumptions'!$C$8*'Assumptions'!$D$19/60*'Assumptions'!$C$9*(1+'Assumptions'!$C$11)^(5-1)</x:f>
        <x:v>4217.656680673334</x:v>
      </x:c>
      <x:c r="H14" s="1"/>
      <x:c r="I14" s="1"/>
      <x:c r="J14" s="1"/>
      <x:c r="K14" s="1"/>
      <x:c r="L14" s="1"/>
      <x:c r="M14" s="1"/>
      <x:c r="N14" s="1"/>
      <x:c r="O14" s="1"/>
      <x:c r="P14" s="1"/>
      <x:c r="Q14" s="1"/>
    </x:row>
    <x:row r="15">
      <x:c r="A15" s="46" t="str">
        <x:v>Defect / service recovery</x:v>
      </x:c>
      <x:c r="B15" s="49"/>
      <x:c r="C15" s="49" t="n">
        <x:f>'Assumptions'!$D$20*(1+'Assumptions'!$C$11)^(1-1)</x:f>
        <x:v>800</x:v>
      </x:c>
      <x:c r="D15" s="49" t="n">
        <x:f>'Assumptions'!$D$20*(1+'Assumptions'!$C$11)^(2-1)</x:f>
        <x:v>824</x:v>
      </x:c>
      <x:c r="E15" s="49" t="n">
        <x:f>'Assumptions'!$D$20*(1+'Assumptions'!$C$11)^(3-1)</x:f>
        <x:v>848.7199999999999</x:v>
      </x:c>
      <x:c r="F15" s="49" t="n">
        <x:f>'Assumptions'!$D$20*(1+'Assumptions'!$C$11)^(4-1)</x:f>
        <x:v>874.1816</x:v>
      </x:c>
      <x:c r="G15" s="49" t="n">
        <x:f>'Assumptions'!$D$20*(1+'Assumptions'!$C$11)^(5-1)</x:f>
        <x:v>900.4070480000001</x:v>
      </x:c>
      <x:c r="H15" s="1"/>
      <x:c r="I15" s="1"/>
      <x:c r="J15" s="1"/>
      <x:c r="K15" s="1"/>
      <x:c r="L15" s="1"/>
      <x:c r="M15" s="1"/>
      <x:c r="N15" s="1"/>
      <x:c r="O15" s="1"/>
      <x:c r="P15" s="1"/>
      <x:c r="Q15" s="1"/>
    </x:row>
    <x:row r="16">
      <x:c r="A16" s="46" t="str">
        <x:v>Inventory carrying</x:v>
      </x:c>
      <x:c r="B16" s="49"/>
      <x:c r="C16" s="49" t="n">
        <x:f>'Assumptions'!$D$21*'Assumptions'!$D$17*(1+'Assumptions'!$C$11)^(1-1)*'Assumptions'!$C$12</x:f>
        <x:v>112.5</x:v>
      </x:c>
      <x:c r="D16" s="49" t="n">
        <x:f>'Assumptions'!$D$21*'Assumptions'!$D$17*(1+'Assumptions'!$C$11)^(2-1)*'Assumptions'!$C$12</x:f>
        <x:v>115.875</x:v>
      </x:c>
      <x:c r="E16" s="49" t="n">
        <x:f>'Assumptions'!$D$21*'Assumptions'!$D$17*(1+'Assumptions'!$C$11)^(3-1)*'Assumptions'!$C$12</x:f>
        <x:v>119.35125</x:v>
      </x:c>
      <x:c r="F16" s="49" t="n">
        <x:f>'Assumptions'!$D$21*'Assumptions'!$D$17*(1+'Assumptions'!$C$11)^(4-1)*'Assumptions'!$C$12</x:f>
        <x:v>122.9317875</x:v>
      </x:c>
      <x:c r="G16" s="49" t="n">
        <x:f>'Assumptions'!$D$21*'Assumptions'!$D$17*(1+'Assumptions'!$C$11)^(5-1)*'Assumptions'!$C$12</x:f>
        <x:v>126.619741125</x:v>
      </x:c>
      <x:c r="H16" s="1"/>
      <x:c r="I16" s="1"/>
      <x:c r="J16" s="1"/>
      <x:c r="K16" s="1"/>
      <x:c r="L16" s="1"/>
      <x:c r="M16" s="1"/>
      <x:c r="N16" s="1"/>
      <x:c r="O16" s="1"/>
      <x:c r="P16" s="1"/>
      <x:c r="Q16" s="1"/>
    </x:row>
    <x:row r="17">
      <x:c r="A17" s="46" t="str">
        <x:v>Other operating cost</x:v>
      </x:c>
      <x:c r="B17" s="49"/>
      <x:c r="C17" s="49" t="n">
        <x:f>'Assumptions'!$D$22*(1+'Assumptions'!$C$11)^(1-1)</x:f>
        <x:v>150</x:v>
      </x:c>
      <x:c r="D17" s="49" t="n">
        <x:f>'Assumptions'!$D$22*(1+'Assumptions'!$C$11)^(2-1)</x:f>
        <x:v>154.5</x:v>
      </x:c>
      <x:c r="E17" s="49" t="n">
        <x:f>'Assumptions'!$D$22*(1+'Assumptions'!$C$11)^(3-1)</x:f>
        <x:v>159.135</x:v>
      </x:c>
      <x:c r="F17" s="49" t="n">
        <x:f>'Assumptions'!$D$22*(1+'Assumptions'!$C$11)^(4-1)</x:f>
        <x:v>163.90905</x:v>
      </x:c>
      <x:c r="G17" s="49" t="n">
        <x:f>'Assumptions'!$D$22*(1+'Assumptions'!$C$11)^(5-1)</x:f>
        <x:v>168.82632150000003</x:v>
      </x:c>
      <x:c r="H17" s="1"/>
      <x:c r="I17" s="1"/>
      <x:c r="J17" s="1"/>
      <x:c r="K17" s="1"/>
      <x:c r="L17" s="1"/>
      <x:c r="M17" s="1"/>
      <x:c r="N17" s="1"/>
      <x:c r="O17" s="1"/>
      <x:c r="P17" s="1"/>
      <x:c r="Q17" s="1"/>
    </x:row>
    <x:row r="18">
      <x:c r="A18" s="46" t="str">
        <x:v>Disposal</x:v>
      </x:c>
      <x:c r="B18" s="49"/>
      <x:c r="C18" s="49" t="n">
        <x:f>0</x:f>
        <x:v>0</x:v>
      </x:c>
      <x:c r="D18" s="49" t="n">
        <x:f>0</x:f>
        <x:v>0</x:v>
      </x:c>
      <x:c r="E18" s="49" t="n">
        <x:f>0</x:f>
        <x:v>0</x:v>
      </x:c>
      <x:c r="F18" s="49" t="n">
        <x:f>0</x:f>
        <x:v>0</x:v>
      </x:c>
      <x:c r="G18" s="49" t="n">
        <x:f>'Assumptions'!$C$5*'Assumptions'!$C$6*'Assumptions'!$D$23</x:f>
        <x:v>300</x:v>
      </x:c>
      <x:c r="H18" s="1"/>
      <x:c r="I18" s="1"/>
      <x:c r="J18" s="1"/>
      <x:c r="K18" s="1"/>
      <x:c r="L18" s="1"/>
      <x:c r="M18" s="1"/>
      <x:c r="N18" s="1"/>
      <x:c r="O18" s="1"/>
      <x:c r="P18" s="1"/>
      <x:c r="Q18" s="1"/>
    </x:row>
    <x:row r="19">
      <x:c r="A19" s="46" t="str">
        <x:v>Residual value</x:v>
      </x:c>
      <x:c r="B19" s="49"/>
      <x:c r="C19" s="49" t="n">
        <x:f>0</x:f>
        <x:v>0</x:v>
      </x:c>
      <x:c r="D19" s="49" t="n">
        <x:f>0</x:f>
        <x:v>0</x:v>
      </x:c>
      <x:c r="E19" s="49" t="n">
        <x:f>0</x:f>
        <x:v>0</x:v>
      </x:c>
      <x:c r="F19" s="49" t="n">
        <x:f>0</x:f>
        <x:v>0</x:v>
      </x:c>
      <x:c r="G19" s="49" t="n">
        <x:f>-'Assumptions'!$D$24</x:f>
        <x:v>0</x:v>
      </x:c>
      <x:c r="H19" s="1"/>
      <x:c r="I19" s="1"/>
      <x:c r="J19" s="1"/>
      <x:c r="K19" s="1"/>
      <x:c r="L19" s="1"/>
      <x:c r="M19" s="1"/>
      <x:c r="N19" s="1"/>
      <x:c r="O19" s="1"/>
      <x:c r="P19" s="1"/>
      <x:c r="Q19" s="1"/>
    </x:row>
    <x:row r="20">
      <x:c r="A20" s="50" t="str">
        <x:v>Total nominal cash flow</x:v>
      </x:c>
      <x:c r="B20" s="51" t="n">
        <x:f>SUM(B8:B10)</x:f>
        <x:v>6510.000000000001</x:v>
      </x:c>
      <x:c r="C20" s="51" t="n">
        <x:f>SUM(C12:C19)</x:f>
        <x:v>5809.833333333334</x:v>
      </x:c>
      <x:c r="D20" s="51" t="n">
        <x:f>SUM(D12:D19)</x:f>
        <x:v>5984.128333333334</x:v>
      </x:c>
      <x:c r="E20" s="51" t="n">
        <x:f>SUM(E12:E19)</x:f>
        <x:v>6163.652183333334</x:v>
      </x:c>
      <x:c r="F20" s="51" t="n">
        <x:f>SUM(F12:F19)</x:f>
        <x:v>6348.561748833334</x:v>
      </x:c>
      <x:c r="G20" s="51" t="n">
        <x:f>SUM(G12:G19)</x:f>
        <x:v>6839.018601298334</x:v>
      </x:c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>
      <x:c r="A21" s="50" t="str">
        <x:v>Discount factor</x:v>
      </x:c>
      <x:c r="B21" s="52" t="n">
        <x:v>1</x:v>
      </x:c>
      <x:c r="C21" s="52" t="n">
        <x:f>1/(1+'Assumptions'!$C$10)^1</x:f>
        <x:v>0.9345794392523364</x:v>
      </x:c>
      <x:c r="D21" s="52" t="n">
        <x:f>1/(1+'Assumptions'!$C$10)^2</x:f>
        <x:v>0.8734387282732116</x:v>
      </x:c>
      <x:c r="E21" s="52" t="n">
        <x:f>1/(1+'Assumptions'!$C$10)^3</x:f>
        <x:v>0.8162978768908519</x:v>
      </x:c>
      <x:c r="F21" s="52" t="n">
        <x:f>1/(1+'Assumptions'!$C$10)^4</x:f>
        <x:v>0.7628952120475251</x:v>
      </x:c>
      <x:c r="G21" s="52" t="n">
        <x:f>1/(1+'Assumptions'!$C$10)^5</x:f>
        <x:v>0.7129861794836683</x:v>
      </x:c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>
      <x:c r="A22" s="50" t="str">
        <x:v>Discounted cash flow</x:v>
      </x:c>
      <x:c r="B22" s="51" t="n">
        <x:f>B20*B21</x:f>
        <x:v>6510.000000000001</x:v>
      </x:c>
      <x:c r="C22" s="51" t="n">
        <x:f>C20*C21</x:f>
        <x:v>5429.7507788162</x:v>
      </x:c>
      <x:c r="D22" s="51" t="n">
        <x:f>D20*D21</x:f>
        <x:v>5226.76944129036</x:v>
      </x:c>
      <x:c r="E22" s="51" t="n">
        <x:f>E20*E21</x:f>
        <x:v>5031.376191148664</x:v>
      </x:c>
      <x:c r="F22" s="51" t="n">
        <x:f>F20*F21</x:f>
        <x:v>4843.287361573013</x:v>
      </x:c>
      <x:c r="G22" s="51" t="n">
        <x:f>G20*G21</x:f>
        <x:v>4876.12574395744</x:v>
      </x:c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>
      <x:c r="A23" s="53" t="str">
        <x:v>Cumulative discounted TCO</x:v>
      </x:c>
      <x:c r="B23" s="53" t="n">
        <x:f>B22</x:f>
        <x:v>6510.000000000001</x:v>
      </x:c>
      <x:c r="C23" s="53" t="n">
        <x:f>B23+C22</x:f>
        <x:v>11939.7507788162</x:v>
      </x:c>
      <x:c r="D23" s="53" t="n">
        <x:f>C23+D22</x:f>
        <x:v>17166.520220106562</x:v>
      </x:c>
      <x:c r="E23" s="53" t="n">
        <x:f>D23+E22</x:f>
        <x:v>22197.896411255228</x:v>
      </x:c>
      <x:c r="F23" s="53" t="n">
        <x:f>E23+F22</x:f>
        <x:v>27041.18377282824</x:v>
      </x:c>
      <x:c r="G23" s="53" t="n">
        <x:f>F23+G22</x:f>
        <x:v>31917.30951678568</x:v>
      </x:c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>
      <x:c r="A24" s="46"/>
      <x:c r="B24" s="46"/>
      <x:c r="C24" s="46"/>
      <x:c r="D24" s="46"/>
      <x:c r="E24" s="46"/>
      <x:c r="F24" s="46"/>
      <x:c r="G24" s="46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46"/>
      <x:c r="B25" s="46"/>
      <x:c r="C25" s="46"/>
      <x:c r="D25" s="46"/>
      <x:c r="E25" s="46"/>
      <x:c r="F25" s="46"/>
      <x:c r="G25" s="46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 ht="22" customHeight="1">
      <x:c r="A26" s="47" t="str">
        <x:v>Supplier B</x:v>
      </x:c>
      <x:c r="B26" s="47"/>
      <x:c r="C26" s="47"/>
      <x:c r="D26" s="47"/>
      <x:c r="E26" s="47"/>
      <x:c r="F26" s="47"/>
      <x:c r="G26" s="47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46" t="str">
        <x:v>Opening quantity</x:v>
      </x:c>
      <x:c r="B27" s="48" t="n">
        <x:f>'Assumptions'!$C$5*'Assumptions'!$C$6*(1+'Assumptions'!$C$7)</x:f>
        <x:v>220.00000000000003</x:v>
      </x:c>
      <x:c r="C27" s="48"/>
      <x:c r="D27" s="48"/>
      <x:c r="E27" s="48"/>
      <x:c r="F27" s="48"/>
      <x:c r="G27" s="48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46" t="str">
        <x:v>Opening purchase</x:v>
      </x:c>
      <x:c r="B28" s="49" t="n">
        <x:f>B27*'Assumptions'!$E$13</x:f>
        <x:v>6380.000000000001</x:v>
      </x:c>
      <x:c r="C28" s="49"/>
      <x:c r="D28" s="49"/>
      <x:c r="E28" s="49"/>
      <x:c r="F28" s="49"/>
      <x:c r="G28" s="49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46" t="str">
        <x:v>Opening freight and import</x:v>
      </x:c>
      <x:c r="B29" s="49" t="n">
        <x:f>B27*'Assumptions'!$E$14</x:f>
        <x:v>880.0000000000001</x:v>
      </x:c>
      <x:c r="C29" s="49"/>
      <x:c r="D29" s="49"/>
      <x:c r="E29" s="49"/>
      <x:c r="F29" s="49"/>
      <x:c r="G29" s="49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46" t="str">
        <x:v>Inspection and deployment</x:v>
      </x:c>
      <x:c r="B30" s="49" t="n">
        <x:f>'Assumptions'!$E$15</x:f>
        <x:v>1050</x:v>
      </x:c>
      <x:c r="C30" s="49"/>
      <x:c r="D30" s="49"/>
      <x:c r="E30" s="49"/>
      <x:c r="F30" s="49"/>
      <x:c r="G30" s="49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46" t="str">
        <x:v>Replacement quantity</x:v>
      </x:c>
      <x:c r="B31" s="48"/>
      <x:c r="C31" s="48" t="n">
        <x:f>'Assumptions'!$C$5*'Assumptions'!$C$6*'Assumptions'!$E$16</x:f>
        <x:v>12</x:v>
      </x:c>
      <x:c r="D31" s="48" t="n">
        <x:f>'Assumptions'!$C$5*'Assumptions'!$C$6*'Assumptions'!$E$16</x:f>
        <x:v>12</x:v>
      </x:c>
      <x:c r="E31" s="48" t="n">
        <x:f>'Assumptions'!$C$5*'Assumptions'!$C$6*'Assumptions'!$E$16</x:f>
        <x:v>12</x:v>
      </x:c>
      <x:c r="F31" s="48" t="n">
        <x:f>'Assumptions'!$C$5*'Assumptions'!$C$6*'Assumptions'!$E$16</x:f>
        <x:v>12</x:v>
      </x:c>
      <x:c r="G31" s="48" t="n">
        <x:f>'Assumptions'!$C$5*'Assumptions'!$C$6*'Assumptions'!$E$16</x:f>
        <x:v>12</x:v>
      </x:c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46" t="str">
        <x:v>Replacement purchase</x:v>
      </x:c>
      <x:c r="B32" s="49"/>
      <x:c r="C32" s="49" t="n">
        <x:f>C31*'Assumptions'!$E$17*(1+'Assumptions'!$C$11)^(1-1)</x:f>
        <x:v>372</x:v>
      </x:c>
      <x:c r="D32" s="49" t="n">
        <x:f>D31*'Assumptions'!$E$17*(1+'Assumptions'!$C$11)^(2-1)</x:f>
        <x:v>383.16</x:v>
      </x:c>
      <x:c r="E32" s="49" t="n">
        <x:f>E31*'Assumptions'!$E$17*(1+'Assumptions'!$C$11)^(3-1)</x:f>
        <x:v>394.65479999999997</x:v>
      </x:c>
      <x:c r="F32" s="49" t="n">
        <x:f>F31*'Assumptions'!$E$17*(1+'Assumptions'!$C$11)^(4-1)</x:f>
        <x:v>406.494444</x:v>
      </x:c>
      <x:c r="G32" s="49" t="n">
        <x:f>G31*'Assumptions'!$E$17*(1+'Assumptions'!$C$11)^(5-1)</x:f>
        <x:v>418.68927732000003</x:v>
      </x:c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46" t="str">
        <x:v>Replenishment logistics</x:v>
      </x:c>
      <x:c r="B33" s="49"/>
      <x:c r="C33" s="49" t="n">
        <x:f>'Assumptions'!$E$18*(1+'Assumptions'!$C$11)^(1-1)</x:f>
        <x:v>300</x:v>
      </x:c>
      <x:c r="D33" s="49" t="n">
        <x:f>'Assumptions'!$E$18*(1+'Assumptions'!$C$11)^(2-1)</x:f>
        <x:v>309</x:v>
      </x:c>
      <x:c r="E33" s="49" t="n">
        <x:f>'Assumptions'!$E$18*(1+'Assumptions'!$C$11)^(3-1)</x:f>
        <x:v>318.27</x:v>
      </x:c>
      <x:c r="F33" s="49" t="n">
        <x:f>'Assumptions'!$E$18*(1+'Assumptions'!$C$11)^(4-1)</x:f>
        <x:v>327.8181</x:v>
      </x:c>
      <x:c r="G33" s="49" t="n">
        <x:f>'Assumptions'!$E$18*(1+'Assumptions'!$C$11)^(5-1)</x:f>
        <x:v>337.65264300000007</x:v>
      </x:c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46" t="str">
        <x:v>Incremental labor</x:v>
      </x:c>
      <x:c r="B34" s="49"/>
      <x:c r="C34" s="49" t="n">
        <x:f>'Assumptions'!$C$8*'Assumptions'!$E$19/60*'Assumptions'!$C$9*(1+'Assumptions'!$C$11)^(1-1)</x:f>
        <x:v>936.8333333333334</x:v>
      </x:c>
      <x:c r="D34" s="49" t="n">
        <x:f>'Assumptions'!$C$8*'Assumptions'!$E$19/60*'Assumptions'!$C$9*(1+'Assumptions'!$C$11)^(2-1)</x:f>
        <x:v>964.9383333333334</x:v>
      </x:c>
      <x:c r="E34" s="49" t="n">
        <x:f>'Assumptions'!$C$8*'Assumptions'!$E$19/60*'Assumptions'!$C$9*(1+'Assumptions'!$C$11)^(3-1)</x:f>
        <x:v>993.8864833333333</x:v>
      </x:c>
      <x:c r="F34" s="49" t="n">
        <x:f>'Assumptions'!$C$8*'Assumptions'!$E$19/60*'Assumptions'!$C$9*(1+'Assumptions'!$C$11)^(4-1)</x:f>
        <x:v>1023.7030778333334</x:v>
      </x:c>
      <x:c r="G34" s="49" t="n">
        <x:f>'Assumptions'!$C$8*'Assumptions'!$E$19/60*'Assumptions'!$C$9*(1+'Assumptions'!$C$11)^(5-1)</x:f>
        <x:v>1054.4141701683336</x:v>
      </x:c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46" t="str">
        <x:v>Defect / service recovery</x:v>
      </x:c>
      <x:c r="B35" s="49"/>
      <x:c r="C35" s="49" t="n">
        <x:f>'Assumptions'!$E$20*(1+'Assumptions'!$C$11)^(1-1)</x:f>
        <x:v>250</x:v>
      </x:c>
      <x:c r="D35" s="49" t="n">
        <x:f>'Assumptions'!$E$20*(1+'Assumptions'!$C$11)^(2-1)</x:f>
        <x:v>257.5</x:v>
      </x:c>
      <x:c r="E35" s="49" t="n">
        <x:f>'Assumptions'!$E$20*(1+'Assumptions'!$C$11)^(3-1)</x:f>
        <x:v>265.22499999999997</x:v>
      </x:c>
      <x:c r="F35" s="49" t="n">
        <x:f>'Assumptions'!$E$20*(1+'Assumptions'!$C$11)^(4-1)</x:f>
        <x:v>273.18175</x:v>
      </x:c>
      <x:c r="G35" s="49" t="n">
        <x:f>'Assumptions'!$E$20*(1+'Assumptions'!$C$11)^(5-1)</x:f>
        <x:v>281.3772025</x:v>
      </x:c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46" t="str">
        <x:v>Inventory carrying</x:v>
      </x:c>
      <x:c r="B36" s="49"/>
      <x:c r="C36" s="49" t="n">
        <x:f>'Assumptions'!$E$21*'Assumptions'!$E$17*(1+'Assumptions'!$C$11)^(1-1)*'Assumptions'!$C$12</x:f>
        <x:v>78.11999999999999</x:v>
      </x:c>
      <x:c r="D36" s="49" t="n">
        <x:f>'Assumptions'!$E$21*'Assumptions'!$E$17*(1+'Assumptions'!$C$11)^(2-1)*'Assumptions'!$C$12</x:f>
        <x:v>80.4636</x:v>
      </x:c>
      <x:c r="E36" s="49" t="n">
        <x:f>'Assumptions'!$E$21*'Assumptions'!$E$17*(1+'Assumptions'!$C$11)^(3-1)*'Assumptions'!$C$12</x:f>
        <x:v>82.87750799999999</x:v>
      </x:c>
      <x:c r="F36" s="49" t="n">
        <x:f>'Assumptions'!$E$21*'Assumptions'!$E$17*(1+'Assumptions'!$C$11)^(4-1)*'Assumptions'!$C$12</x:f>
        <x:v>85.36383323999999</x:v>
      </x:c>
      <x:c r="G36" s="49" t="n">
        <x:f>'Assumptions'!$E$21*'Assumptions'!$E$17*(1+'Assumptions'!$C$11)^(5-1)*'Assumptions'!$C$12</x:f>
        <x:v>87.9247482372</x:v>
      </x:c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46" t="str">
        <x:v>Other operating cost</x:v>
      </x:c>
      <x:c r="B37" s="49"/>
      <x:c r="C37" s="49" t="n">
        <x:f>'Assumptions'!$E$22*(1+'Assumptions'!$C$11)^(1-1)</x:f>
        <x:v>100</x:v>
      </x:c>
      <x:c r="D37" s="49" t="n">
        <x:f>'Assumptions'!$E$22*(1+'Assumptions'!$C$11)^(2-1)</x:f>
        <x:v>103</x:v>
      </x:c>
      <x:c r="E37" s="49" t="n">
        <x:f>'Assumptions'!$E$22*(1+'Assumptions'!$C$11)^(3-1)</x:f>
        <x:v>106.08999999999999</x:v>
      </x:c>
      <x:c r="F37" s="49" t="n">
        <x:f>'Assumptions'!$E$22*(1+'Assumptions'!$C$11)^(4-1)</x:f>
        <x:v>109.2727</x:v>
      </x:c>
      <x:c r="G37" s="49" t="n">
        <x:f>'Assumptions'!$E$22*(1+'Assumptions'!$C$11)^(5-1)</x:f>
        <x:v>112.55088100000002</x:v>
      </x:c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46" t="str">
        <x:v>Disposal</x:v>
      </x:c>
      <x:c r="B38" s="49"/>
      <x:c r="C38" s="49" t="n">
        <x:f>0</x:f>
        <x:v>0</x:v>
      </x:c>
      <x:c r="D38" s="49" t="n">
        <x:f>0</x:f>
        <x:v>0</x:v>
      </x:c>
      <x:c r="E38" s="49" t="n">
        <x:f>0</x:f>
        <x:v>0</x:v>
      </x:c>
      <x:c r="F38" s="49" t="n">
        <x:f>0</x:f>
        <x:v>0</x:v>
      </x:c>
      <x:c r="G38" s="49" t="n">
        <x:f>'Assumptions'!$C$5*'Assumptions'!$C$6*'Assumptions'!$E$23</x:f>
        <x:v>300</x:v>
      </x:c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46" t="str">
        <x:v>Residual value</x:v>
      </x:c>
      <x:c r="B39" s="49"/>
      <x:c r="C39" s="49" t="n">
        <x:f>0</x:f>
        <x:v>0</x:v>
      </x:c>
      <x:c r="D39" s="49" t="n">
        <x:f>0</x:f>
        <x:v>0</x:v>
      </x:c>
      <x:c r="E39" s="49" t="n">
        <x:f>0</x:f>
        <x:v>0</x:v>
      </x:c>
      <x:c r="F39" s="49" t="n">
        <x:f>0</x:f>
        <x:v>0</x:v>
      </x:c>
      <x:c r="G39" s="49" t="n">
        <x:f>-'Assumptions'!$E$24</x:f>
        <x:v>-350</x:v>
      </x:c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50" t="str">
        <x:v>Total nominal cash flow</x:v>
      </x:c>
      <x:c r="B40" s="51" t="n">
        <x:f>SUM(B28:B30)</x:f>
        <x:v>8310</x:v>
      </x:c>
      <x:c r="C40" s="51" t="n">
        <x:f>SUM(C32:C39)</x:f>
        <x:v>2036.9533333333334</x:v>
      </x:c>
      <x:c r="D40" s="51" t="n">
        <x:f>SUM(D32:D39)</x:f>
        <x:v>2098.0619333333334</x:v>
      </x:c>
      <x:c r="E40" s="51" t="n">
        <x:f>SUM(E32:E39)</x:f>
        <x:v>2161.0037913333335</x:v>
      </x:c>
      <x:c r="F40" s="51" t="n">
        <x:f>SUM(F32:F39)</x:f>
        <x:v>2225.8339050733334</x:v>
      </x:c>
      <x:c r="G40" s="51" t="n">
        <x:f>SUM(G32:G39)</x:f>
        <x:v>2242.608922225534</x:v>
      </x:c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50" t="str">
        <x:v>Discount factor</x:v>
      </x:c>
      <x:c r="B41" s="52" t="n">
        <x:v>1</x:v>
      </x:c>
      <x:c r="C41" s="52" t="n">
        <x:f>1/(1+'Assumptions'!$C$10)^1</x:f>
        <x:v>0.9345794392523364</x:v>
      </x:c>
      <x:c r="D41" s="52" t="n">
        <x:f>1/(1+'Assumptions'!$C$10)^2</x:f>
        <x:v>0.8734387282732116</x:v>
      </x:c>
      <x:c r="E41" s="52" t="n">
        <x:f>1/(1+'Assumptions'!$C$10)^3</x:f>
        <x:v>0.8162978768908519</x:v>
      </x:c>
      <x:c r="F41" s="52" t="n">
        <x:f>1/(1+'Assumptions'!$C$10)^4</x:f>
        <x:v>0.7628952120475251</x:v>
      </x:c>
      <x:c r="G41" s="52" t="n">
        <x:f>1/(1+'Assumptions'!$C$10)^5</x:f>
        <x:v>0.7129861794836683</x:v>
      </x:c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50" t="str">
        <x:v>Discounted cash flow</x:v>
      </x:c>
      <x:c r="B42" s="51" t="n">
        <x:f>B40*B41</x:f>
        <x:v>8310</x:v>
      </x:c>
      <x:c r="C42" s="51" t="n">
        <x:f>C40*C41</x:f>
        <x:v>1903.6947040498442</x:v>
      </x:c>
      <x:c r="D42" s="51" t="n">
        <x:f>D40*D41</x:f>
        <x:v>1832.5285468891022</x:v>
      </x:c>
      <x:c r="E42" s="51" t="n">
        <x:f>E40*E41</x:f>
        <x:v>1764.0228068184817</x:v>
      </x:c>
      <x:c r="F42" s="51" t="n">
        <x:f>F40*F41</x:f>
        <x:v>1698.0780289934914</x:v>
      </x:c>
      <x:c r="G42" s="51" t="n">
        <x:f>G40*G41</x:f>
        <x:v>1598.9491675335705</x:v>
      </x:c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53" t="str">
        <x:v>Cumulative discounted TCO</x:v>
      </x:c>
      <x:c r="B43" s="53" t="n">
        <x:f>B42</x:f>
        <x:v>8310</x:v>
      </x:c>
      <x:c r="C43" s="53" t="n">
        <x:f>B43+C42</x:f>
        <x:v>10213.694704049843</x:v>
      </x:c>
      <x:c r="D43" s="53" t="n">
        <x:f>C43+D42</x:f>
        <x:v>12046.223250938945</x:v>
      </x:c>
      <x:c r="E43" s="53" t="n">
        <x:f>D43+E42</x:f>
        <x:v>13810.246057757427</x:v>
      </x:c>
      <x:c r="F43" s="53" t="n">
        <x:f>E43+F42</x:f>
        <x:v>15508.32408675092</x:v>
      </x:c>
      <x:c r="G43" s="53" t="n">
        <x:f>F43+G42</x:f>
        <x:v>17107.27325428449</x:v>
      </x:c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</x:sheetData>
  <x:mergeCells>
    <x:mergeCell ref="A1:H1"/>
    <x:mergeCell ref="A2:H2"/>
    <x:mergeCell ref="A6:G6"/>
    <x:mergeCell ref="A26:G26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9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</x:cols>
  <x:sheetData>
    <x:row r="1" ht="30" customHeight="1">
      <x:c r="A1" s="4" t="str">
        <x:v>Sensitivity Analysis</x:v>
      </x:c>
      <x:c r="B1" s="4"/>
      <x:c r="C1" s="4"/>
      <x:c r="D1" s="4"/>
      <x:c r="E1" s="4"/>
      <x:c r="F1" s="4"/>
      <x:c r="G1" s="4"/>
      <x:c r="H1" s="4"/>
      <x:c r="I1" s="1"/>
      <x:c r="J1" s="1"/>
      <x:c r="K1" s="1"/>
      <x:c r="L1" s="1"/>
      <x:c r="M1" s="1"/>
      <x:c r="N1" s="1"/>
      <x:c r="O1" s="1"/>
      <x:c r="P1" s="1"/>
      <x:c r="Q1" s="1"/>
    </x:row>
    <x:row r="2" ht="30" customHeight="1">
      <x:c r="A2" s="7" t="str">
        <x:v>Supplier B discounted TCO under alternative loss and labor assumptions. Every output is formula-driven.</x:v>
      </x:c>
      <x:c r="B2" s="7"/>
      <x:c r="C2" s="7"/>
      <x:c r="D2" s="7"/>
      <x:c r="E2" s="7"/>
      <x:c r="F2" s="7"/>
      <x:c r="G2" s="7"/>
      <x:c r="H2" s="7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 ht="22" customHeight="1">
      <x:c r="A4" s="31" t="str">
        <x:v>Supplier B: discounted five-year TCO</x:v>
      </x:c>
      <x:c r="B4" s="31"/>
      <x:c r="C4" s="31"/>
      <x:c r="D4" s="31"/>
      <x:c r="E4" s="3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1" t="str">
        <x:v>Annual loss rate →</x:v>
      </x:c>
      <x:c r="B5" s="77" t="n">
        <x:v>0.04</x:v>
      </x:c>
      <x:c r="C5" s="77" t="n">
        <x:v>0.06</x:v>
      </x:c>
      <x:c r="D5" s="77" t="n">
        <x:v>0.08</x:v>
      </x:c>
      <x:c r="E5" s="77" t="n">
        <x:v>0.1</x:v>
      </x:c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78" t="n">
        <x:v>0</x:v>
      </x:c>
      <x:c r="B6" s="57" t="n">
        <x:f>('Cash Flow'!B42)+SUM('Cash Flow'!C42:G42)-SUM('Cash Flow'!C32:G32)-SUM('Cash Flow'!C34:G34)+SUMPRODUCT(('Assumptions'!$C$5*'Assumptions'!$C$6*B$5)*'Assumptions'!$E$17*(1+'Assumptions'!$C$11)^{0,1,2,3,4}*('Cash Flow'!C41:G41))+SUMPRODUCT('Assumptions'!$C$8*$A6/60*'Assumptions'!$C$9*(1+'Assumptions'!$C$11)^{0,1,2,3,4}*('Cash Flow'!C41:G41))</x:f>
        <x:v>11233.911697063158</x:v>
      </x:c>
      <x:c r="C6" s="57" t="n">
        <x:f>('Cash Flow'!B42)+SUM('Cash Flow'!C42:G42)-SUM('Cash Flow'!C32:G32)-SUM('Cash Flow'!C34:G34)+SUMPRODUCT(('Assumptions'!$C$5*'Assumptions'!$C$6*C$5)*'Assumptions'!$E$17*(1+'Assumptions'!$C$11)^{0,1,2,3,4}*('Cash Flow'!C41:G41))+SUMPRODUCT('Assumptions'!$C$8*$A6/60*'Assumptions'!$C$9*(1+'Assumptions'!$C$11)^{0,1,2,3,4}*('Cash Flow'!C41:G41))</x:f>
        <x:v>11771.617878113326</x:v>
      </x:c>
      <x:c r="D6" s="57" t="n">
        <x:f>('Cash Flow'!B42)+SUM('Cash Flow'!C42:G42)-SUM('Cash Flow'!C32:G32)-SUM('Cash Flow'!C34:G34)+SUMPRODUCT(('Assumptions'!$C$5*'Assumptions'!$C$6*D$5)*'Assumptions'!$E$17*(1+'Assumptions'!$C$11)^{0,1,2,3,4}*('Cash Flow'!C41:G41))+SUMPRODUCT('Assumptions'!$C$8*$A6/60*'Assumptions'!$C$9*(1+'Assumptions'!$C$11)^{0,1,2,3,4}*('Cash Flow'!C41:G41))</x:f>
        <x:v>12309.324059163493</x:v>
      </x:c>
      <x:c r="E6" s="57" t="n">
        <x:f>('Cash Flow'!B42)+SUM('Cash Flow'!C42:G42)-SUM('Cash Flow'!C32:G32)-SUM('Cash Flow'!C34:G34)+SUMPRODUCT(('Assumptions'!$C$5*'Assumptions'!$C$6*E$5)*'Assumptions'!$E$17*(1+'Assumptions'!$C$11)^{0,1,2,3,4}*('Cash Flow'!C41:G41))+SUMPRODUCT('Assumptions'!$C$8*$A6/60*'Assumptions'!$C$9*(1+'Assumptions'!$C$11)^{0,1,2,3,4}*('Cash Flow'!C41:G41))</x:f>
        <x:v>12847.03024021366</x:v>
      </x:c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78" t="n">
        <x:v>0.05</x:v>
      </x:c>
      <x:c r="B7" s="57" t="n">
        <x:f>('Cash Flow'!B42)+SUM('Cash Flow'!C42:G42)-SUM('Cash Flow'!C32:G32)-SUM('Cash Flow'!C34:G34)+SUMPRODUCT(('Assumptions'!$C$5*'Assumptions'!$C$6*B$5)*'Assumptions'!$E$17*(1+'Assumptions'!$C$11)^{0,1,2,3,4}*('Cash Flow'!C41:G41))+SUMPRODUCT('Assumptions'!$C$8*$A7/60*'Assumptions'!$C$9*(1+'Assumptions'!$C$11)^{0,1,2,3,4}*('Cash Flow'!C41:G41))</x:f>
        <x:v>15296.339712766105</x:v>
      </x:c>
      <x:c r="C7" s="57" t="n">
        <x:f>('Cash Flow'!B42)+SUM('Cash Flow'!C42:G42)-SUM('Cash Flow'!C32:G32)-SUM('Cash Flow'!C34:G34)+SUMPRODUCT(('Assumptions'!$C$5*'Assumptions'!$C$6*C$5)*'Assumptions'!$E$17*(1+'Assumptions'!$C$11)^{0,1,2,3,4}*('Cash Flow'!C41:G41))+SUMPRODUCT('Assumptions'!$C$8*$A7/60*'Assumptions'!$C$9*(1+'Assumptions'!$C$11)^{0,1,2,3,4}*('Cash Flow'!C41:G41))</x:f>
        <x:v>15834.04589381627</x:v>
      </x:c>
      <x:c r="D7" s="57" t="n">
        <x:f>('Cash Flow'!B42)+SUM('Cash Flow'!C42:G42)-SUM('Cash Flow'!C32:G32)-SUM('Cash Flow'!C34:G34)+SUMPRODUCT(('Assumptions'!$C$5*'Assumptions'!$C$6*D$5)*'Assumptions'!$E$17*(1+'Assumptions'!$C$11)^{0,1,2,3,4}*('Cash Flow'!C41:G41))+SUMPRODUCT('Assumptions'!$C$8*$A7/60*'Assumptions'!$C$9*(1+'Assumptions'!$C$11)^{0,1,2,3,4}*('Cash Flow'!C41:G41))</x:f>
        <x:v>16371.75207486644</x:v>
      </x:c>
      <x:c r="E7" s="57" t="n">
        <x:f>('Cash Flow'!B42)+SUM('Cash Flow'!C42:G42)-SUM('Cash Flow'!C32:G32)-SUM('Cash Flow'!C34:G34)+SUMPRODUCT(('Assumptions'!$C$5*'Assumptions'!$C$6*E$5)*'Assumptions'!$E$17*(1+'Assumptions'!$C$11)^{0,1,2,3,4}*('Cash Flow'!C41:G41))+SUMPRODUCT('Assumptions'!$C$8*$A7/60*'Assumptions'!$C$9*(1+'Assumptions'!$C$11)^{0,1,2,3,4}*('Cash Flow'!C41:G41))</x:f>
        <x:v>16909.458255916605</x:v>
      </x:c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78" t="n">
        <x:v>0.1</x:v>
      </x:c>
      <x:c r="B8" s="57" t="n">
        <x:f>('Cash Flow'!B42)+SUM('Cash Flow'!C42:G42)-SUM('Cash Flow'!C32:G32)-SUM('Cash Flow'!C34:G34)+SUMPRODUCT(('Assumptions'!$C$5*'Assumptions'!$C$6*B$5)*'Assumptions'!$E$17*(1+'Assumptions'!$C$11)^{0,1,2,3,4}*('Cash Flow'!C41:G41))+SUMPRODUCT('Assumptions'!$C$8*$A8/60*'Assumptions'!$C$9*(1+'Assumptions'!$C$11)^{0,1,2,3,4}*('Cash Flow'!C41:G41))</x:f>
        <x:v>19358.76772846905</x:v>
      </x:c>
      <x:c r="C8" s="57" t="n">
        <x:f>('Cash Flow'!B42)+SUM('Cash Flow'!C42:G42)-SUM('Cash Flow'!C32:G32)-SUM('Cash Flow'!C34:G34)+SUMPRODUCT(('Assumptions'!$C$5*'Assumptions'!$C$6*C$5)*'Assumptions'!$E$17*(1+'Assumptions'!$C$11)^{0,1,2,3,4}*('Cash Flow'!C41:G41))+SUMPRODUCT('Assumptions'!$C$8*$A8/60*'Assumptions'!$C$9*(1+'Assumptions'!$C$11)^{0,1,2,3,4}*('Cash Flow'!C41:G41))</x:f>
        <x:v>19896.473909519216</x:v>
      </x:c>
      <x:c r="D8" s="57" t="n">
        <x:f>('Cash Flow'!B42)+SUM('Cash Flow'!C42:G42)-SUM('Cash Flow'!C32:G32)-SUM('Cash Flow'!C34:G34)+SUMPRODUCT(('Assumptions'!$C$5*'Assumptions'!$C$6*D$5)*'Assumptions'!$E$17*(1+'Assumptions'!$C$11)^{0,1,2,3,4}*('Cash Flow'!C41:G41))+SUMPRODUCT('Assumptions'!$C$8*$A8/60*'Assumptions'!$C$9*(1+'Assumptions'!$C$11)^{0,1,2,3,4}*('Cash Flow'!C41:G41))</x:f>
        <x:v>20434.18009056938</x:v>
      </x:c>
      <x:c r="E8" s="57" t="n">
        <x:f>('Cash Flow'!B42)+SUM('Cash Flow'!C42:G42)-SUM('Cash Flow'!C32:G32)-SUM('Cash Flow'!C34:G34)+SUMPRODUCT(('Assumptions'!$C$5*'Assumptions'!$C$6*E$5)*'Assumptions'!$E$17*(1+'Assumptions'!$C$11)^{0,1,2,3,4}*('Cash Flow'!C41:G41))+SUMPRODUCT('Assumptions'!$C$8*$A8/60*'Assumptions'!$C$9*(1+'Assumptions'!$C$11)^{0,1,2,3,4}*('Cash Flow'!C41:G41))</x:f>
        <x:v>20971.88627161955</x:v>
      </x:c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78" t="n">
        <x:v>0.15</x:v>
      </x:c>
      <x:c r="B9" s="57" t="n">
        <x:f>('Cash Flow'!B42)+SUM('Cash Flow'!C42:G42)-SUM('Cash Flow'!C32:G32)-SUM('Cash Flow'!C34:G34)+SUMPRODUCT(('Assumptions'!$C$5*'Assumptions'!$C$6*B$5)*'Assumptions'!$E$17*(1+'Assumptions'!$C$11)^{0,1,2,3,4}*('Cash Flow'!C41:G41))+SUMPRODUCT('Assumptions'!$C$8*$A9/60*'Assumptions'!$C$9*(1+'Assumptions'!$C$11)^{0,1,2,3,4}*('Cash Flow'!C41:G41))</x:f>
        <x:v>23421.195744171993</x:v>
      </x:c>
      <x:c r="C9" s="57" t="n">
        <x:f>('Cash Flow'!B42)+SUM('Cash Flow'!C42:G42)-SUM('Cash Flow'!C32:G32)-SUM('Cash Flow'!C34:G34)+SUMPRODUCT(('Assumptions'!$C$5*'Assumptions'!$C$6*C$5)*'Assumptions'!$E$17*(1+'Assumptions'!$C$11)^{0,1,2,3,4}*('Cash Flow'!C41:G41))+SUMPRODUCT('Assumptions'!$C$8*$A9/60*'Assumptions'!$C$9*(1+'Assumptions'!$C$11)^{0,1,2,3,4}*('Cash Flow'!C41:G41))</x:f>
        <x:v>23958.901925222162</x:v>
      </x:c>
      <x:c r="D9" s="57" t="n">
        <x:f>('Cash Flow'!B42)+SUM('Cash Flow'!C42:G42)-SUM('Cash Flow'!C32:G32)-SUM('Cash Flow'!C34:G34)+SUMPRODUCT(('Assumptions'!$C$5*'Assumptions'!$C$6*D$5)*'Assumptions'!$E$17*(1+'Assumptions'!$C$11)^{0,1,2,3,4}*('Cash Flow'!C41:G41))+SUMPRODUCT('Assumptions'!$C$8*$A9/60*'Assumptions'!$C$9*(1+'Assumptions'!$C$11)^{0,1,2,3,4}*('Cash Flow'!C41:G41))</x:f>
        <x:v>24496.608106272328</x:v>
      </x:c>
      <x:c r="E9" s="57" t="n">
        <x:f>('Cash Flow'!B42)+SUM('Cash Flow'!C42:G42)-SUM('Cash Flow'!C32:G32)-SUM('Cash Flow'!C34:G34)+SUMPRODUCT(('Assumptions'!$C$5*'Assumptions'!$C$6*E$5)*'Assumptions'!$E$17*(1+'Assumptions'!$C$11)^{0,1,2,3,4}*('Cash Flow'!C41:G41))+SUMPRODUCT('Assumptions'!$C$8*$A9/60*'Assumptions'!$C$9*(1+'Assumptions'!$C$11)^{0,1,2,3,4}*('Cash Flow'!C41:G41))</x:f>
        <x:v>25034.314287322493</x:v>
      </x:c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>
      <x:c r="A10" s="78" t="n">
        <x:v>0.2</x:v>
      </x:c>
      <x:c r="B10" s="57" t="n">
        <x:f>('Cash Flow'!B42)+SUM('Cash Flow'!C42:G42)-SUM('Cash Flow'!C32:G32)-SUM('Cash Flow'!C34:G34)+SUMPRODUCT(('Assumptions'!$C$5*'Assumptions'!$C$6*B$5)*'Assumptions'!$E$17*(1+'Assumptions'!$C$11)^{0,1,2,3,4}*('Cash Flow'!C41:G41))+SUMPRODUCT('Assumptions'!$C$8*$A10/60*'Assumptions'!$C$9*(1+'Assumptions'!$C$11)^{0,1,2,3,4}*('Cash Flow'!C41:G41))</x:f>
        <x:v>27483.62375987494</x:v>
      </x:c>
      <x:c r="C10" s="57" t="n">
        <x:f>('Cash Flow'!B42)+SUM('Cash Flow'!C42:G42)-SUM('Cash Flow'!C32:G32)-SUM('Cash Flow'!C34:G34)+SUMPRODUCT(('Assumptions'!$C$5*'Assumptions'!$C$6*C$5)*'Assumptions'!$E$17*(1+'Assumptions'!$C$11)^{0,1,2,3,4}*('Cash Flow'!C41:G41))+SUMPRODUCT('Assumptions'!$C$8*$A10/60*'Assumptions'!$C$9*(1+'Assumptions'!$C$11)^{0,1,2,3,4}*('Cash Flow'!C41:G41))</x:f>
        <x:v>28021.329940925105</x:v>
      </x:c>
      <x:c r="D10" s="57" t="n">
        <x:f>('Cash Flow'!B42)+SUM('Cash Flow'!C42:G42)-SUM('Cash Flow'!C32:G32)-SUM('Cash Flow'!C34:G34)+SUMPRODUCT(('Assumptions'!$C$5*'Assumptions'!$C$6*D$5)*'Assumptions'!$E$17*(1+'Assumptions'!$C$11)^{0,1,2,3,4}*('Cash Flow'!C41:G41))+SUMPRODUCT('Assumptions'!$C$8*$A10/60*'Assumptions'!$C$9*(1+'Assumptions'!$C$11)^{0,1,2,3,4}*('Cash Flow'!C41:G41))</x:f>
        <x:v>28559.036121975274</x:v>
      </x:c>
      <x:c r="E10" s="57" t="n">
        <x:f>('Cash Flow'!B42)+SUM('Cash Flow'!C42:G42)-SUM('Cash Flow'!C32:G32)-SUM('Cash Flow'!C34:G34)+SUMPRODUCT(('Assumptions'!$C$5*'Assumptions'!$C$6*E$5)*'Assumptions'!$E$17*(1+'Assumptions'!$C$11)^{0,1,2,3,4}*('Cash Flow'!C41:G41))+SUMPRODUCT('Assumptions'!$C$8*$A10/60*'Assumptions'!$C$9*(1+'Assumptions'!$C$11)^{0,1,2,3,4}*('Cash Flow'!C41:G41))</x:f>
        <x:v>29096.742303025443</x:v>
      </x:c>
      <x:c r="F10" s="1"/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</x:row>
    <x:row r="11">
      <x:c r="A11" s="1" t="str">
        <x:v>Rows = labor minutes per occupied room-night; columns = annual loss / breakage rate.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</x:row>
    <x:row r="12">
      <x:c r="A12" s="1"/>
      <x:c r="B12" s="1"/>
      <x:c r="C12" s="1"/>
      <x:c r="D12" s="1"/>
      <x:c r="E12" s="1"/>
      <x:c r="F12" s="1"/>
      <x:c r="G12" s="1"/>
      <x:c r="H12" s="1"/>
      <x:c r="I12" s="1"/>
      <x:c r="J12" s="1"/>
      <x:c r="K12" s="1"/>
      <x:c r="L12" s="1"/>
      <x:c r="M12" s="1"/>
      <x:c r="N12" s="1"/>
      <x:c r="O12" s="1"/>
      <x:c r="P12" s="1"/>
      <x:c r="Q12" s="1"/>
    </x:row>
    <x:row r="13">
      <x:c r="A13" s="81" t="str">
        <x:v>Scenario</x:v>
      </x:c>
      <x:c r="B13" s="81" t="str">
        <x:v>Loss rate</x:v>
      </x:c>
      <x:c r="C13" s="81" t="str">
        <x:v>Labor minutes</x:v>
      </x:c>
      <x:c r="D13" s="81" t="str">
        <x:v>Discounted TCO</x:v>
      </x:c>
      <x:c r="E13" s="81" t="str">
        <x:v>Delta vs. base</x:v>
      </x:c>
      <x:c r="F13" s="1"/>
      <x:c r="G13" s="1"/>
      <x:c r="H13" s="1"/>
      <x:c r="I13" s="1"/>
      <x:c r="J13" s="1"/>
      <x:c r="K13" s="1"/>
      <x:c r="L13" s="1"/>
      <x:c r="M13" s="1"/>
      <x:c r="N13" s="1"/>
      <x:c r="O13" s="1"/>
      <x:c r="P13" s="1"/>
      <x:c r="Q13" s="1"/>
    </x:row>
    <x:row r="14">
      <x:c r="A14" s="11" t="str">
        <x:v>Low</x:v>
      </x:c>
      <x:c r="B14" s="82" t="n">
        <x:v>0.04</x:v>
      </x:c>
      <x:c r="C14" s="83" t="n">
        <x:v>0</x:v>
      </x:c>
      <x:c r="D14" s="58" t="n">
        <x:f>B6</x:f>
        <x:v>11233.911697063158</x:v>
      </x:c>
      <x:c r="E14" s="58" t="n">
        <x:f>D14-D15</x:f>
        <x:v>-4600.134196753112</x:v>
      </x:c>
      <x:c r="F14" s="1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</x:row>
    <x:row r="15">
      <x:c r="A15" s="11" t="str">
        <x:v>Base</x:v>
      </x:c>
      <x:c r="B15" s="82" t="n">
        <x:v>0.06</x:v>
      </x:c>
      <x:c r="C15" s="83" t="n">
        <x:v>0.05</x:v>
      </x:c>
      <x:c r="D15" s="58" t="n">
        <x:f>C7</x:f>
        <x:v>15834.04589381627</x:v>
      </x:c>
      <x:c r="E15" s="58" t="n">
        <x:f>D15-D15</x:f>
        <x:v>0</x:v>
      </x:c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</x:row>
    <x:row r="16">
      <x:c r="A16" s="11" t="str">
        <x:v>High</x:v>
      </x:c>
      <x:c r="B16" s="82" t="n">
        <x:v>0.1</x:v>
      </x:c>
      <x:c r="C16" s="83" t="n">
        <x:v>0.2</x:v>
      </x:c>
      <x:c r="D16" s="58" t="n">
        <x:f>E10</x:f>
        <x:v>29096.742303025443</x:v>
      </x:c>
      <x:c r="E16" s="58" t="n">
        <x:f>D16-D15</x:f>
        <x:v>13262.696409209173</x:v>
      </x:c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</x:row>
    <x:row r="17">
      <x:c r="A17" s="1"/>
      <x:c r="B17" s="1"/>
      <x:c r="C17" s="1"/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</x:sheetData>
  <x:mergeCells>
    <x:mergeCell ref="A1:H1"/>
    <x:mergeCell ref="A2:H2"/>
    <x:mergeCell ref="A4:E4"/>
    <x:mergeCell ref="A11:E11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44" hidden="0" customWidth="1"/>
  </x:cols>
  <x:sheetData>
    <x:row r="1" ht="30" customHeight="1">
      <x:c r="A1" s="4" t="str">
        <x:v>Model Checks</x:v>
      </x:c>
      <x:c r="B1" s="4"/>
      <x:c r="C1" s="4"/>
      <x:c r="D1" s="4"/>
      <x:c r="E1" s="4"/>
      <x:c r="F1" s="4"/>
      <x:c r="G1" s="4"/>
      <x:c r="H1" s="1"/>
      <x:c r="I1" s="1"/>
      <x:c r="J1" s="1"/>
      <x:c r="K1" s="1"/>
      <x:c r="L1" s="1"/>
      <x:c r="M1" s="1"/>
      <x:c r="N1" s="1"/>
      <x:c r="O1" s="1"/>
      <x:c r="P1" s="1"/>
      <x:c r="Q1" s="1"/>
    </x:row>
    <x:row r="2" ht="30" customHeight="1">
      <x:c r="A2" s="7" t="str">
        <x:v>All checks should read OK before the model is used for procurement decisions.</x:v>
      </x:c>
      <x:c r="B2" s="7"/>
      <x:c r="C2" s="7"/>
      <x:c r="D2" s="7"/>
      <x:c r="E2" s="7"/>
      <x:c r="F2" s="7"/>
      <x:c r="G2" s="7"/>
      <x:c r="H2" s="1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87" t="str">
        <x:v>Check</x:v>
      </x:c>
      <x:c r="B4" s="87" t="str">
        <x:v>Actual</x:v>
      </x:c>
      <x:c r="C4" s="87" t="str">
        <x:v>Expected</x:v>
      </x:c>
      <x:c r="D4" s="87" t="str">
        <x:v>Status</x:v>
      </x:c>
      <x:c r="E4" s="87" t="str">
        <x:v>Difference</x:v>
      </x:c>
      <x:c r="F4" s="87" t="str">
        <x:v>Tolerance</x:v>
      </x:c>
      <x:c r="G4" s="87" t="str">
        <x:v>Fix hint</x:v>
      </x:c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23" t="str">
        <x:v>Supplier A opening total ties</x:v>
      </x:c>
      <x:c r="B5" s="89" t="n">
        <x:f>'Cash Flow'!B20</x:f>
        <x:v>6510.000000000001</x:v>
      </x:c>
      <x:c r="C5" s="89" t="n">
        <x:f>SUM('Cash Flow'!B8:B10)</x:f>
        <x:v>6510.000000000001</x:v>
      </x:c>
      <x:c r="D5" s="90" t="str">
        <x:f>IF(ABS(E5)&lt;=F5,"OK","FAIL")</x:f>
        <x:v>OK</x:v>
      </x:c>
      <x:c r="E5" s="89" t="n">
        <x:f>B5-C5</x:f>
        <x:v>0</x:v>
      </x:c>
      <x:c r="F5" s="91" t="n">
        <x:v>0.01</x:v>
      </x:c>
      <x:c r="G5" s="23" t="str">
        <x:v>Review Supplier A Year 0 components.</x:v>
      </x:c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23" t="str">
        <x:v>Supplier B opening total ties</x:v>
      </x:c>
      <x:c r="B6" s="89" t="n">
        <x:f>'Cash Flow'!B40</x:f>
        <x:v>8310</x:v>
      </x:c>
      <x:c r="C6" s="89" t="n">
        <x:f>SUM('Cash Flow'!B28:B30)</x:f>
        <x:v>8310</x:v>
      </x:c>
      <x:c r="D6" s="90" t="str">
        <x:f>IF(ABS(E6)&lt;=F6,"OK","FAIL")</x:f>
        <x:v>OK</x:v>
      </x:c>
      <x:c r="E6" s="89" t="n">
        <x:f>B6-C6</x:f>
        <x:v>0</x:v>
      </x:c>
      <x:c r="F6" s="91" t="n">
        <x:v>0.01</x:v>
      </x:c>
      <x:c r="G6" s="23" t="str">
        <x:v>Review Supplier B Year 0 components.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>
      <x:c r="A7" s="23" t="str">
        <x:v>Supplier A cumulative TCO ties</x:v>
      </x:c>
      <x:c r="B7" s="89" t="n">
        <x:f>'Cash Flow'!G23</x:f>
        <x:v>31917.30951678568</x:v>
      </x:c>
      <x:c r="C7" s="89" t="n">
        <x:f>SUM('Cash Flow'!B22:G22)</x:f>
        <x:v>31917.30951678568</x:v>
      </x:c>
      <x:c r="D7" s="90" t="str">
        <x:f>IF(ABS(E7)&lt;=F7,"OK","FAIL")</x:f>
        <x:v>OK</x:v>
      </x:c>
      <x:c r="E7" s="89" t="n">
        <x:f>B7-C7</x:f>
        <x:v>0</x:v>
      </x:c>
      <x:c r="F7" s="91" t="n">
        <x:v>0.01</x:v>
      </x:c>
      <x:c r="G7" s="23" t="str">
        <x:v>Review Supplier A discounted cash flow.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</x:row>
    <x:row r="8">
      <x:c r="A8" s="23" t="str">
        <x:v>Supplier B cumulative TCO ties</x:v>
      </x:c>
      <x:c r="B8" s="89" t="n">
        <x:f>'Cash Flow'!G43</x:f>
        <x:v>17107.27325428449</x:v>
      </x:c>
      <x:c r="C8" s="89" t="n">
        <x:f>SUM('Cash Flow'!B42:G42)</x:f>
        <x:v>17107.27325428449</x:v>
      </x:c>
      <x:c r="D8" s="90" t="str">
        <x:f>IF(ABS(E8)&lt;=F8,"OK","FAIL")</x:f>
        <x:v>OK</x:v>
      </x:c>
      <x:c r="E8" s="89" t="n">
        <x:f>B8-C8</x:f>
        <x:v>0</x:v>
      </x:c>
      <x:c r="F8" s="91" t="n">
        <x:v>0.01</x:v>
      </x:c>
      <x:c r="G8" s="23" t="str">
        <x:v>Review Supplier B discounted cash flow.</x:v>
      </x:c>
      <x:c r="H8" s="1"/>
      <x:c r="I8" s="1"/>
      <x:c r="J8" s="1"/>
      <x:c r="K8" s="1"/>
      <x:c r="L8" s="1"/>
      <x:c r="M8" s="1"/>
      <x:c r="N8" s="1"/>
      <x:c r="O8" s="1"/>
      <x:c r="P8" s="1"/>
      <x:c r="Q8" s="1"/>
    </x:row>
    <x:row r="9">
      <x:c r="A9" s="23" t="str">
        <x:v>Discount factors decline</x:v>
      </x:c>
      <x:c r="B9" s="89" t="n">
        <x:f>'Cash Flow'!G21</x:f>
        <x:v>0.7129861794836683</x:v>
      </x:c>
      <x:c r="C9" s="89" t="n">
        <x:f>'Cash Flow'!F21</x:f>
        <x:v>0.7628952120475251</x:v>
      </x:c>
      <x:c r="D9" s="90" t="str">
        <x:f>IF(B9&lt;C9,"OK","FAIL")</x:f>
        <x:v>OK</x:v>
      </x:c>
      <x:c r="E9" s="89" t="n">
        <x:f>B9-C9</x:f>
        <x:v>-0.049909032563856814</x:v>
      </x:c>
      <x:c r="F9" s="91" t="n">
        <x:v>0</x:v>
      </x:c>
      <x:c r="G9" s="23" t="str">
        <x:v>Confirm a nonnegative discount rate.</x:v>
      </x:c>
      <x:c r="H9" s="1"/>
      <x:c r="I9" s="1"/>
      <x:c r="J9" s="1"/>
      <x:c r="K9" s="1"/>
      <x:c r="L9" s="1"/>
      <x:c r="M9" s="1"/>
      <x:c r="N9" s="1"/>
      <x:c r="O9" s="1"/>
      <x:c r="P9" s="1"/>
      <x:c r="Q9" s="1"/>
    </x:row>
    <x:row r="10">
      <x:c r="A10" s="23" t="str">
        <x:v>Required shared inputs positive</x:v>
      </x:c>
      <x:c r="B10" s="89" t="n">
        <x:f>MIN('Assumptions'!C5:C12)</x:f>
        <x:v>0.03</x:v>
      </x:c>
      <x:c r="C10" s="89" t="n">
        <x:v>0</x:v>
      </x:c>
      <x:c r="D10" s="90" t="str">
        <x:f>IF(B10&gt;C10,"OK","FAIL")</x:f>
        <x:v>OK</x:v>
      </x:c>
      <x:c r="E10" s="89" t="n">
        <x:f>B10-C10</x:f>
        <x:v>0.03</x:v>
      </x:c>
      <x:c r="F10" s="91" t="n">
        <x:v>0</x:v>
      </x:c>
      <x:c r="G10" s="23" t="str">
        <x:v>Complete shared assumptions.</x:v>
      </x:c>
      <x:c r="H10" s="1"/>
      <x:c r="I10" s="1"/>
      <x:c r="J10" s="1"/>
      <x:c r="K10" s="1"/>
      <x:c r="L10" s="1"/>
      <x:c r="M10" s="1"/>
      <x:c r="N10" s="1"/>
      <x:c r="O10" s="1"/>
      <x:c r="P10" s="1"/>
      <x:c r="Q10" s="1"/>
    </x:row>
    <x:row r="11">
      <x:c r="A11" s="23" t="str">
        <x:v>Supplier inputs nonnegative</x:v>
      </x:c>
      <x:c r="B11" s="89" t="n">
        <x:f>MIN('Assumptions'!D13:E24)</x:f>
        <x:v>0</x:v>
      </x:c>
      <x:c r="C11" s="89" t="n">
        <x:v>0</x:v>
      </x:c>
      <x:c r="D11" s="90" t="str">
        <x:f>IF(B11&gt;=C11,"OK","FAIL")</x:f>
        <x:v>OK</x:v>
      </x:c>
      <x:c r="E11" s="89" t="n">
        <x:f>B11-C11</x:f>
        <x:v>0</x:v>
      </x:c>
      <x:c r="F11" s="91" t="n">
        <x:v>0</x:v>
      </x:c>
      <x:c r="G11" s="23" t="str">
        <x:v>Remove negative cost assumptions except modeled benefits.</x:v>
      </x:c>
      <x:c r="H11" s="1"/>
      <x:c r="I11" s="1"/>
      <x:c r="J11" s="1"/>
      <x:c r="K11" s="1"/>
      <x:c r="L11" s="1"/>
      <x:c r="M11" s="1"/>
      <x:c r="N11" s="1"/>
      <x:c r="O11" s="1"/>
      <x:c r="P11" s="1"/>
      <x:c r="Q11" s="1"/>
    </x:row>
    <x:row r="12">
      <x:c r="A12" s="23" t="str">
        <x:v>No double-counting attestation</x:v>
      </x:c>
      <x:c r="B12" s="23" t="str">
        <x:v>Manual review</x:v>
      </x:c>
      <x:c r="C12" s="23" t="str">
        <x:v>Manual review</x:v>
      </x:c>
      <x:c r="D12" s="23" t="str">
        <x:v>REVIEW</x:v>
      </x:c>
      <x:c r="E12" s="23" t="n">
        <x:v>0</x:v>
      </x:c>
      <x:c r="F12" s="23" t="n">
        <x:v>0</x:v>
      </x:c>
      <x:c r="G12" s="23" t="str">
        <x:v>Confirm defect, labor, logistics and downtime do not overlap.</x:v>
      </x:c>
      <x:c r="H12" s="1"/>
      <x:c r="I12" s="1"/>
      <x:c r="J12" s="1"/>
      <x:c r="K12" s="1"/>
      <x:c r="L12" s="1"/>
      <x:c r="M12" s="1"/>
      <x:c r="N12" s="1"/>
      <x:c r="O12" s="1"/>
      <x:c r="P12" s="1"/>
      <x:c r="Q12" s="1"/>
    </x:row>
    <x:row r="13">
      <x:c r="A13" s="88" t="str">
        <x:v>Overall model status</x:v>
      </x:c>
      <x:c r="B13" s="88"/>
      <x:c r="C13" s="88"/>
      <x:c r="D13" s="88" t="str">
        <x:f>IF(COUNTIF(D5:D11,"FAIL")=0,"OK","FAIL")</x:f>
        <x:v>OK</x:v>
      </x:c>
      <x:c r="E13" s="88" t="str">
        <x:v>Manual review remains required for double-counting and service equivalence.</x:v>
      </x:c>
      <x:c r="F13" s="88"/>
      <x:c r="G13" s="88"/>
      <x:c r="H13" s="1"/>
      <x:c r="I13" s="1"/>
      <x:c r="J13" s="1"/>
      <x:c r="K13" s="1"/>
      <x:c r="L13" s="1"/>
      <x:c r="M13" s="1"/>
      <x:c r="N13" s="1"/>
      <x:c r="O13" s="1"/>
      <x:c r="P13" s="1"/>
      <x:c r="Q13" s="1"/>
    </x:row>
    <x:row r="14">
      <x:c r="A14" s="1"/>
      <x:c r="B14" s="1"/>
      <x:c r="C14" s="1"/>
      <x:c r="D14" s="1"/>
      <x:c r="E14" s="1"/>
      <x:c r="F14" s="1"/>
      <x:c r="G14" s="1"/>
      <x:c r="H14" s="1"/>
      <x:c r="I14" s="1"/>
      <x:c r="J14" s="1"/>
      <x:c r="K14" s="1"/>
      <x:c r="L14" s="1"/>
      <x:c r="M14" s="1"/>
      <x:c r="N14" s="1"/>
      <x:c r="O14" s="1"/>
      <x:c r="P14" s="1"/>
      <x:c r="Q14" s="1"/>
    </x:row>
    <x:row r="15">
      <x:c r="A15" s="1"/>
      <x:c r="B15" s="1"/>
      <x:c r="C15" s="1"/>
      <x:c r="D15" s="1"/>
      <x:c r="E15" s="1"/>
      <x:c r="F15" s="1"/>
      <x:c r="G15" s="1"/>
      <x:c r="H15" s="1"/>
      <x:c r="I15" s="1"/>
      <x:c r="J15" s="1"/>
      <x:c r="K15" s="1"/>
      <x:c r="L15" s="1"/>
      <x:c r="M15" s="1"/>
      <x:c r="N15" s="1"/>
      <x:c r="O15" s="1"/>
      <x:c r="P15" s="1"/>
      <x:c r="Q15" s="1"/>
    </x:row>
    <x:row r="16">
      <x:c r="A16" s="1"/>
      <x:c r="B16" s="1"/>
      <x:c r="C16" s="1"/>
      <x:c r="D16" s="1"/>
      <x:c r="E16" s="1"/>
      <x:c r="F16" s="1"/>
      <x:c r="G16" s="1"/>
      <x:c r="H16" s="1"/>
      <x:c r="I16" s="1"/>
      <x:c r="J16" s="1"/>
      <x:c r="K16" s="1"/>
      <x:c r="L16" s="1"/>
      <x:c r="M16" s="1"/>
      <x:c r="N16" s="1"/>
      <x:c r="O16" s="1"/>
      <x:c r="P16" s="1"/>
      <x:c r="Q16" s="1"/>
    </x:row>
    <x:row r="17">
      <x:c r="A17" s="1"/>
      <x:c r="B17" s="1"/>
      <x:c r="C17" s="1"/>
      <x:c r="D17" s="1"/>
      <x:c r="E17" s="1"/>
      <x:c r="F17" s="1"/>
      <x:c r="G17" s="1"/>
      <x:c r="H17" s="1"/>
      <x:c r="I17" s="1"/>
      <x:c r="J17" s="1"/>
      <x:c r="K17" s="1"/>
      <x:c r="L17" s="1"/>
      <x:c r="M17" s="1"/>
      <x:c r="N17" s="1"/>
      <x:c r="O17" s="1"/>
      <x:c r="P17" s="1"/>
      <x:c r="Q17" s="1"/>
    </x:row>
    <x:row r="18">
      <x:c r="A18" s="1"/>
      <x:c r="B18" s="1"/>
      <x:c r="C18" s="1"/>
      <x:c r="D18" s="1"/>
      <x:c r="E18" s="1"/>
      <x:c r="F18" s="1"/>
      <x:c r="G18" s="1"/>
      <x:c r="H18" s="1"/>
      <x:c r="I18" s="1"/>
      <x:c r="J18" s="1"/>
      <x:c r="K18" s="1"/>
      <x:c r="L18" s="1"/>
      <x:c r="M18" s="1"/>
      <x:c r="N18" s="1"/>
      <x:c r="O18" s="1"/>
      <x:c r="P18" s="1"/>
      <x:c r="Q18" s="1"/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  <x:c r="K19" s="1"/>
      <x:c r="L19" s="1"/>
      <x:c r="M19" s="1"/>
      <x:c r="N19" s="1"/>
      <x:c r="O19" s="1"/>
      <x:c r="P19" s="1"/>
      <x:c r="Q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</x:sheetData>
  <x:mergeCells>
    <x:mergeCell ref="A1:G1"/>
    <x:mergeCell ref="A2:G2"/>
    <x:mergeCell ref="A13:C13"/>
    <x:mergeCell ref="E13:G13"/>
  </x:mergeCells>
  <x:pageMargins left="0.7" right="0.7" top="0.75" bottom="0.75" header="0.3" footer="0.3"/>
</x:worksheet>
</file>